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<sst xmlns="http://schemas.openxmlformats.org/spreadsheetml/2006/main" count="381" uniqueCount="170">
  <si>
    <t>Цена</t>
  </si>
  <si>
    <t>Белки</t>
  </si>
  <si>
    <t>Жиры</t>
  </si>
  <si>
    <t>Углеводы</t>
  </si>
  <si>
    <t xml:space="preserve">Завтрак </t>
  </si>
  <si>
    <t>200</t>
  </si>
  <si>
    <t>150</t>
  </si>
  <si>
    <t>Итого</t>
  </si>
  <si>
    <t>2 Завтрак</t>
  </si>
  <si>
    <t>Обед</t>
  </si>
  <si>
    <t>75</t>
  </si>
  <si>
    <t>Хлеб "Рябинушка"</t>
  </si>
  <si>
    <t>Полдник</t>
  </si>
  <si>
    <t>Ужин</t>
  </si>
  <si>
    <t>1/20</t>
  </si>
  <si>
    <t>Итого за день</t>
  </si>
  <si>
    <t xml:space="preserve">2 Завтрак </t>
  </si>
  <si>
    <t xml:space="preserve">Полдник </t>
  </si>
  <si>
    <t xml:space="preserve">Молоко кипяченое </t>
  </si>
  <si>
    <t>сад</t>
  </si>
  <si>
    <t>ясли</t>
  </si>
  <si>
    <t>697./04</t>
  </si>
  <si>
    <t>№ рец.</t>
  </si>
  <si>
    <t>698./04</t>
  </si>
  <si>
    <t>Кисель</t>
  </si>
  <si>
    <t>Макароны отварные</t>
  </si>
  <si>
    <t>510./04</t>
  </si>
  <si>
    <t>516./04</t>
  </si>
  <si>
    <t>60</t>
  </si>
  <si>
    <t>180</t>
  </si>
  <si>
    <t>ТТК-305</t>
  </si>
  <si>
    <t xml:space="preserve">Какао с молоком </t>
  </si>
  <si>
    <t>Прием пищи, наименование блюда</t>
  </si>
  <si>
    <t xml:space="preserve">Масса порции </t>
  </si>
  <si>
    <t>Пищевые вещества (г)</t>
  </si>
  <si>
    <t>Энерг. ценность (ккал)</t>
  </si>
  <si>
    <t>Витамины (мг)</t>
  </si>
  <si>
    <t>Минеральные вещества (мг)</t>
  </si>
  <si>
    <t>С</t>
  </si>
  <si>
    <t>Ca</t>
  </si>
  <si>
    <t>Fe</t>
  </si>
  <si>
    <t>2,4 группа</t>
  </si>
  <si>
    <t xml:space="preserve">ИТОГО ЗА НЕДЕЛЮ:                                    </t>
  </si>
  <si>
    <t>В среднем в день</t>
  </si>
  <si>
    <t>к устройству, содержанию и организации режима работы в дошкольных организациях"</t>
  </si>
  <si>
    <r>
      <t>В</t>
    </r>
    <r>
      <rPr>
        <vertAlign val="subscript"/>
        <sz val="10"/>
        <rFont val="Times New Roman"/>
        <family val="1"/>
      </rPr>
      <t>2</t>
    </r>
  </si>
  <si>
    <t>Хлеб "Дарницкий"</t>
  </si>
  <si>
    <t>648./04</t>
  </si>
  <si>
    <t>В.П. Гусева</t>
  </si>
  <si>
    <t>395/10</t>
  </si>
  <si>
    <t>707./04</t>
  </si>
  <si>
    <t>1./04</t>
  </si>
  <si>
    <t xml:space="preserve">Кофейный напиток с молоком </t>
  </si>
  <si>
    <t xml:space="preserve">Батон с маслом </t>
  </si>
  <si>
    <t>311./04</t>
  </si>
  <si>
    <t xml:space="preserve">Генеральный директор                                                                                                                     </t>
  </si>
  <si>
    <t>Рекомендуемые нормы физиологических потребностей для детей с 3 до 7 лет в пищевых веществах и энергии согласно СанПиН 2.4.1.3049 - 13 "Санитарно - эпидемиологические требования</t>
  </si>
  <si>
    <t>Сок разливной</t>
  </si>
  <si>
    <t>11 группа: сады № 28, 30, 34, 40, 50, 50(ф), 51, 52, 54, 93, 103, 110</t>
  </si>
  <si>
    <t>337./04</t>
  </si>
  <si>
    <t>Яйцо вареное</t>
  </si>
  <si>
    <t>1 шт</t>
  </si>
  <si>
    <t>100/50</t>
  </si>
  <si>
    <t>3./04</t>
  </si>
  <si>
    <t>200/25</t>
  </si>
  <si>
    <t>150/25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</si>
  <si>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</si>
  <si>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</si>
  <si>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</si>
  <si>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</si>
  <si>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12 группа: сады № 7, 12, 14, 18, 21, 29, 31, 35, 39, 46, 97, 106, 115</t>
  </si>
  <si>
    <t>18 группа: сады № 8, 9, 16, 27, 62, 65, 66, 82, 86, 108, 109, 118</t>
  </si>
  <si>
    <t>17 группа: сады № 41, 44, 53, 61, 78, 80, 83, 94, 98, 104, 111, 114</t>
  </si>
  <si>
    <t>Кефир</t>
  </si>
  <si>
    <t>50/150</t>
  </si>
  <si>
    <t>130</t>
  </si>
  <si>
    <t>1/46,4</t>
  </si>
  <si>
    <t>1/40,6</t>
  </si>
  <si>
    <t>161./04</t>
  </si>
  <si>
    <t xml:space="preserve">Зам. начальника производственного отдела </t>
  </si>
  <si>
    <t>135/04</t>
  </si>
  <si>
    <t xml:space="preserve">Экономист по ценам                                                                                                  </t>
  </si>
  <si>
    <t>20/5</t>
  </si>
  <si>
    <t>ТТК-475</t>
  </si>
  <si>
    <t>Чай полусладкий</t>
  </si>
  <si>
    <t>200/3</t>
  </si>
  <si>
    <t>150/3</t>
  </si>
  <si>
    <t>ТТК-400</t>
  </si>
  <si>
    <t>Капуста тушеная с мясом</t>
  </si>
  <si>
    <t>100</t>
  </si>
  <si>
    <t>Суп молочный с пшеном</t>
  </si>
  <si>
    <t>Напиток "Фруктовый" из сухофруктов</t>
  </si>
  <si>
    <t>50</t>
  </si>
  <si>
    <t>520./04</t>
  </si>
  <si>
    <t>Картофельное пюре</t>
  </si>
  <si>
    <t>ТТК-317</t>
  </si>
  <si>
    <t>ТТК-446</t>
  </si>
  <si>
    <t>Пюре "Янтарное"</t>
  </si>
  <si>
    <t>Фатхуллина Г.А.</t>
  </si>
  <si>
    <t xml:space="preserve">Каша ячневая  вязкая </t>
  </si>
  <si>
    <t>14 группа: сады № 10, 17, 20, 26, 49, 64, 72, 73, 75, 92, 96, 105, 120</t>
  </si>
  <si>
    <t>170</t>
  </si>
  <si>
    <t>Суп молочный с рисом</t>
  </si>
  <si>
    <t>Каша молочная пшеничная (жидкая) с маслом</t>
  </si>
  <si>
    <t>Десерт фруктовый "Апельсин"</t>
  </si>
  <si>
    <t>160</t>
  </si>
  <si>
    <t>135</t>
  </si>
  <si>
    <t>45</t>
  </si>
  <si>
    <t>ТТК-417</t>
  </si>
  <si>
    <r>
      <t xml:space="preserve">Плов "Золотой петушок" </t>
    </r>
    <r>
      <rPr>
        <b/>
        <sz val="10"/>
        <rFont val="Times New Roman"/>
        <family val="1"/>
      </rPr>
      <t xml:space="preserve">  </t>
    </r>
  </si>
  <si>
    <t>50/100</t>
  </si>
  <si>
    <t>ТТК-738</t>
  </si>
  <si>
    <t xml:space="preserve">Котлеты "Крестьянские" </t>
  </si>
  <si>
    <t>Батон  с сыром</t>
  </si>
  <si>
    <t>318/10</t>
  </si>
  <si>
    <t xml:space="preserve">Картофель отварной </t>
  </si>
  <si>
    <t>733/04</t>
  </si>
  <si>
    <t xml:space="preserve">Оладьи </t>
  </si>
  <si>
    <t>390./04</t>
  </si>
  <si>
    <t>Котлеты рыбные "Любительские"</t>
  </si>
  <si>
    <t>142./04</t>
  </si>
  <si>
    <t xml:space="preserve">Суп картофельный с рыбными фрикадельками </t>
  </si>
  <si>
    <t>140</t>
  </si>
  <si>
    <t>200/5</t>
  </si>
  <si>
    <t>150/5</t>
  </si>
  <si>
    <t>Молоко кипяченое с печеньем "Со вкусом топл. молока"</t>
  </si>
  <si>
    <t>180/18</t>
  </si>
  <si>
    <t>Десерт фруктовый "Яблоко"</t>
  </si>
  <si>
    <t>150/30</t>
  </si>
  <si>
    <t>Н.В. Журавлева</t>
  </si>
  <si>
    <t>Ю.В. Будилова</t>
  </si>
  <si>
    <t>Е.В. Сашинская</t>
  </si>
  <si>
    <t xml:space="preserve">Начальник производственного отдела                                                            </t>
  </si>
  <si>
    <t xml:space="preserve">НЕДЕЛЬНОЕ МЕНЮ ДЛЯ ОБЩЕРАЗВИВАЮЩИХ ДЕТСКИХ САДОВ С 27.08.18г по 31.08.18г    </t>
  </si>
  <si>
    <t>ПОНЕДЕЛЬНИК 27.08</t>
  </si>
  <si>
    <t>ВТОРНИК 28.08</t>
  </si>
  <si>
    <t>СРЕДА 29.08</t>
  </si>
  <si>
    <t>ПЯТНИЦА 31.08</t>
  </si>
  <si>
    <t>ТТК-54</t>
  </si>
  <si>
    <t xml:space="preserve">Салат "Бурячок" </t>
  </si>
  <si>
    <t>ТТК-425</t>
  </si>
  <si>
    <t>Суп "Гречишное зёрнышко"</t>
  </si>
  <si>
    <t>43/04</t>
  </si>
  <si>
    <t>Салат из свежей капусты</t>
  </si>
  <si>
    <t>ТТК-837</t>
  </si>
  <si>
    <t>Котлеты "По- домашнему"</t>
  </si>
  <si>
    <t>294/96</t>
  </si>
  <si>
    <t>Сырники из творога с соусом сметанным "Сластена"</t>
  </si>
  <si>
    <t>Батон с маслом с сыром</t>
  </si>
  <si>
    <t>20/5/5</t>
  </si>
  <si>
    <t>Помидор свежий порционный</t>
  </si>
  <si>
    <t xml:space="preserve">Суп из овощей с мясн. фрикад. со сметаной </t>
  </si>
  <si>
    <t>200/25/5</t>
  </si>
  <si>
    <t>150/25/5</t>
  </si>
  <si>
    <t>ТТК-911</t>
  </si>
  <si>
    <t>Напиток "Цитрусовый"</t>
  </si>
  <si>
    <t>ТТК-66</t>
  </si>
  <si>
    <t>Салат "Солнышко"</t>
  </si>
  <si>
    <t>131/04</t>
  </si>
  <si>
    <t xml:space="preserve">Рассольник "Домашний" на мясокостном бульоне со сметаной </t>
  </si>
  <si>
    <t>137/10</t>
  </si>
  <si>
    <t>Рагу овощное (с кабачками)</t>
  </si>
  <si>
    <t>ТТК-807</t>
  </si>
  <si>
    <t>Тефтели рыбо- крупяные с овощами с соусом томатным</t>
  </si>
  <si>
    <t>50/50</t>
  </si>
  <si>
    <t>Десерт фруктовый "Груша"</t>
  </si>
  <si>
    <t>705/04</t>
  </si>
  <si>
    <t>Напиток из плодов шиповника</t>
  </si>
  <si>
    <t xml:space="preserve"> -</t>
  </si>
  <si>
    <t>138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</si>
</sst>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4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10" fillId="0" borderId="10" xfId="53" applyNumberFormat="1" applyFont="1" applyFill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53" applyNumberFormat="1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54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2" fontId="10" fillId="0" borderId="10" xfId="54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0" fillId="0" borderId="12" xfId="53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vertical="top" wrapText="1"/>
    </xf>
    <xf numFmtId="2" fontId="10" fillId="0" borderId="12" xfId="54" applyNumberFormat="1" applyFont="1" applyFill="1" applyBorder="1" applyAlignment="1">
      <alignment horizontal="center" vertical="center"/>
      <protection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2" xfId="53" applyNumberFormat="1" applyFont="1" applyBorder="1" applyAlignment="1">
      <alignment horizontal="center" vertical="center"/>
      <protection/>
    </xf>
    <xf numFmtId="2" fontId="7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2" fontId="1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10" fillId="0" borderId="12" xfId="54" applyNumberFormat="1" applyFont="1" applyBorder="1" applyAlignment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/>
    </xf>
    <xf numFmtId="2" fontId="10" fillId="0" borderId="16" xfId="54" applyNumberFormat="1" applyFont="1" applyFill="1" applyBorder="1" applyAlignment="1">
      <alignment horizontal="center" vertical="center"/>
      <protection/>
    </xf>
    <xf numFmtId="2" fontId="10" fillId="0" borderId="16" xfId="53" applyNumberFormat="1" applyFont="1" applyBorder="1" applyAlignment="1">
      <alignment horizontal="center" vertical="center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19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49" fontId="0" fillId="0" borderId="11" xfId="0" applyNumberFormat="1" applyBorder="1" applyAlignment="1">
      <alignment/>
    </xf>
    <xf numFmtId="49" fontId="10" fillId="0" borderId="15" xfId="0" applyNumberFormat="1" applyFont="1" applyFill="1" applyBorder="1" applyAlignment="1">
      <alignment horizontal="center" vertical="center" wrapText="1"/>
    </xf>
    <xf numFmtId="2" fontId="10" fillId="0" borderId="13" xfId="53" applyNumberFormat="1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/>
    </xf>
    <xf numFmtId="2" fontId="6" fillId="0" borderId="12" xfId="0" applyNumberFormat="1" applyFont="1" applyFill="1" applyBorder="1" applyAlignment="1">
      <alignment horizontal="center" vertical="center" wrapText="1"/>
    </xf>
    <xf numFmtId="2" fontId="10" fillId="0" borderId="12" xfId="55" applyNumberFormat="1" applyFont="1" applyFill="1" applyBorder="1" applyAlignment="1">
      <alignment horizontal="center" vertical="center"/>
      <protection/>
    </xf>
    <xf numFmtId="0" fontId="9" fillId="36" borderId="10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vertical="distributed"/>
    </xf>
    <xf numFmtId="49" fontId="9" fillId="36" borderId="12" xfId="0" applyNumberFormat="1" applyFont="1" applyFill="1" applyBorder="1" applyAlignment="1">
      <alignment horizontal="center"/>
    </xf>
    <xf numFmtId="49" fontId="9" fillId="36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2" fontId="10" fillId="35" borderId="12" xfId="53" applyNumberFormat="1" applyFont="1" applyFill="1" applyBorder="1" applyAlignment="1">
      <alignment horizontal="center" vertical="center"/>
      <protection/>
    </xf>
    <xf numFmtId="2" fontId="10" fillId="35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9" fillId="4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wrapText="1"/>
    </xf>
    <xf numFmtId="0" fontId="17" fillId="5" borderId="10" xfId="0" applyFont="1" applyFill="1" applyBorder="1" applyAlignment="1">
      <alignment vertical="top" wrapText="1"/>
    </xf>
    <xf numFmtId="49" fontId="6" fillId="0" borderId="19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145</xdr:row>
      <xdr:rowOff>57150</xdr:rowOff>
    </xdr:from>
    <xdr:to>
      <xdr:col>7</xdr:col>
      <xdr:colOff>333375</xdr:colOff>
      <xdr:row>147</xdr:row>
      <xdr:rowOff>104775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l="38554" r="12048" b="73054"/>
        <a:stretch>
          <a:fillRect/>
        </a:stretch>
      </xdr:blipFill>
      <xdr:spPr>
        <a:xfrm>
          <a:off x="4695825" y="29813250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147</xdr:row>
      <xdr:rowOff>95250</xdr:rowOff>
    </xdr:from>
    <xdr:to>
      <xdr:col>7</xdr:col>
      <xdr:colOff>95250</xdr:colOff>
      <xdr:row>149</xdr:row>
      <xdr:rowOff>9525</xdr:rowOff>
    </xdr:to>
    <xdr:pic>
      <xdr:nvPicPr>
        <xdr:cNvPr id="2" name="Picture 264"/>
        <xdr:cNvPicPr preferRelativeResize="1">
          <a:picLocks noChangeAspect="1"/>
        </xdr:cNvPicPr>
      </xdr:nvPicPr>
      <xdr:blipFill>
        <a:blip r:embed="rId2"/>
        <a:srcRect l="27972" t="23710" r="50349"/>
        <a:stretch>
          <a:fillRect/>
        </a:stretch>
      </xdr:blipFill>
      <xdr:spPr>
        <a:xfrm rot="5400000">
          <a:off x="4572000" y="30232350"/>
          <a:ext cx="771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149</xdr:row>
      <xdr:rowOff>47625</xdr:rowOff>
    </xdr:from>
    <xdr:to>
      <xdr:col>7</xdr:col>
      <xdr:colOff>123825</xdr:colOff>
      <xdr:row>151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t="45860" b="31210"/>
        <a:stretch>
          <a:fillRect/>
        </a:stretch>
      </xdr:blipFill>
      <xdr:spPr>
        <a:xfrm>
          <a:off x="4343400" y="30565725"/>
          <a:ext cx="1028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151</xdr:row>
      <xdr:rowOff>9525</xdr:rowOff>
    </xdr:from>
    <xdr:to>
      <xdr:col>7</xdr:col>
      <xdr:colOff>95250</xdr:colOff>
      <xdr:row>153</xdr:row>
      <xdr:rowOff>57150</xdr:rowOff>
    </xdr:to>
    <xdr:pic>
      <xdr:nvPicPr>
        <xdr:cNvPr id="4" name="Picture 266"/>
        <xdr:cNvPicPr preferRelativeResize="1">
          <a:picLocks noChangeAspect="1"/>
        </xdr:cNvPicPr>
      </xdr:nvPicPr>
      <xdr:blipFill>
        <a:blip r:embed="rId4"/>
        <a:srcRect l="67059" t="28454" r="-2352"/>
        <a:stretch>
          <a:fillRect/>
        </a:stretch>
      </xdr:blipFill>
      <xdr:spPr>
        <a:xfrm rot="5400000">
          <a:off x="4391025" y="30908625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3</xdr:row>
      <xdr:rowOff>19050</xdr:rowOff>
    </xdr:from>
    <xdr:to>
      <xdr:col>13</xdr:col>
      <xdr:colOff>285750</xdr:colOff>
      <xdr:row>4</xdr:row>
      <xdr:rowOff>133350</xdr:rowOff>
    </xdr:to>
    <xdr:pic>
      <xdr:nvPicPr>
        <xdr:cNvPr id="5" name="Picture 2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62900" y="590550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3"/>
  <sheetViews>
    <sheetView tabSelected="1" zoomScalePageLayoutView="0" workbookViewId="0" topLeftCell="A106">
      <selection activeCell="M4" sqref="M4:N4"/>
    </sheetView>
  </sheetViews>
  <sheetFormatPr defaultColWidth="9.00390625" defaultRowHeight="12.75"/>
  <cols>
    <col min="1" max="1" width="6.75390625" style="24" customWidth="1"/>
    <col min="2" max="2" width="26.625" style="18" customWidth="1"/>
    <col min="3" max="3" width="7.25390625" style="18" customWidth="1"/>
    <col min="4" max="4" width="6.75390625" style="18" customWidth="1"/>
    <col min="5" max="6" width="7.25390625" style="19" customWidth="1"/>
    <col min="7" max="9" width="7.00390625" style="18" customWidth="1"/>
    <col min="10" max="10" width="7.375" style="18" customWidth="1"/>
    <col min="11" max="11" width="6.875" style="18" customWidth="1"/>
    <col min="12" max="12" width="6.75390625" style="18" customWidth="1"/>
    <col min="13" max="13" width="8.125" style="18" customWidth="1"/>
    <col min="14" max="14" width="8.00390625" style="18" customWidth="1"/>
    <col min="15" max="18" width="5.625" style="0" hidden="1" customWidth="1"/>
    <col min="19" max="20" width="8.125" style="0" customWidth="1"/>
    <col min="21" max="28" width="5.625" style="0" hidden="1" customWidth="1"/>
  </cols>
  <sheetData>
    <row r="1" spans="1:29" s="16" customFormat="1" ht="15" customHeight="1">
      <c r="A1" s="24"/>
      <c r="B1" s="18"/>
      <c r="C1" s="18"/>
      <c r="D1" s="18"/>
      <c r="E1" s="19"/>
      <c r="F1" s="19"/>
      <c r="G1" s="18"/>
      <c r="H1" s="2"/>
      <c r="I1" s="30"/>
      <c r="J1" s="30"/>
      <c r="K1" s="30"/>
      <c r="L1" s="3"/>
      <c r="M1" s="3" t="s">
        <v>67</v>
      </c>
      <c r="N1" s="3"/>
      <c r="O1" s="48"/>
      <c r="P1" s="2"/>
      <c r="Q1"/>
      <c r="R1" s="3"/>
      <c r="S1" s="3"/>
      <c r="T1" s="3"/>
      <c r="U1" s="48"/>
      <c r="V1" s="2"/>
      <c r="W1" s="3"/>
      <c r="X1" s="79"/>
      <c r="Y1" s="79"/>
      <c r="Z1" s="79"/>
      <c r="AA1" s="79"/>
      <c r="AB1" s="79"/>
      <c r="AC1" s="79"/>
    </row>
    <row r="2" spans="1:29" s="16" customFormat="1" ht="15" customHeight="1">
      <c r="A2" s="103" t="s">
        <v>58</v>
      </c>
      <c r="B2" s="18"/>
      <c r="C2" s="18"/>
      <c r="D2" s="18"/>
      <c r="E2" s="19"/>
      <c r="F2" s="19"/>
      <c r="G2" s="18"/>
      <c r="H2" s="3"/>
      <c r="I2" s="3"/>
      <c r="J2" s="48"/>
      <c r="K2" s="2"/>
      <c r="L2" s="3"/>
      <c r="M2" s="3" t="s">
        <v>68</v>
      </c>
      <c r="N2" s="3"/>
      <c r="O2" s="48"/>
      <c r="P2" s="3"/>
      <c r="Q2"/>
      <c r="R2" s="3"/>
      <c r="S2" s="3"/>
      <c r="T2" s="3"/>
      <c r="U2" s="48"/>
      <c r="V2" s="3"/>
      <c r="W2" s="3"/>
      <c r="X2" s="79"/>
      <c r="Y2" s="79"/>
      <c r="Z2" s="79"/>
      <c r="AA2" s="79"/>
      <c r="AB2" s="79"/>
      <c r="AC2" s="79"/>
    </row>
    <row r="3" spans="1:29" s="16" customFormat="1" ht="15" customHeight="1">
      <c r="A3" s="103" t="s">
        <v>70</v>
      </c>
      <c r="B3" s="18"/>
      <c r="C3" s="18"/>
      <c r="D3" s="18"/>
      <c r="E3" s="19"/>
      <c r="F3" s="19"/>
      <c r="G3" s="18"/>
      <c r="H3" s="3"/>
      <c r="I3" s="3"/>
      <c r="J3" s="48"/>
      <c r="K3" s="3"/>
      <c r="L3" s="3"/>
      <c r="M3" s="4" t="s">
        <v>69</v>
      </c>
      <c r="N3" s="3"/>
      <c r="O3" s="48"/>
      <c r="P3" s="2"/>
      <c r="Q3"/>
      <c r="R3" s="4"/>
      <c r="S3" s="3"/>
      <c r="T3" s="3"/>
      <c r="U3" s="48"/>
      <c r="V3" s="2"/>
      <c r="W3" s="3"/>
      <c r="X3" s="79"/>
      <c r="Y3" s="79"/>
      <c r="Z3" s="79"/>
      <c r="AA3" s="79"/>
      <c r="AB3" s="79"/>
      <c r="AC3" s="79"/>
    </row>
    <row r="4" spans="1:29" s="16" customFormat="1" ht="15" customHeight="1">
      <c r="A4" s="103" t="s">
        <v>100</v>
      </c>
      <c r="B4" s="18"/>
      <c r="C4" s="18"/>
      <c r="D4" s="18"/>
      <c r="E4" s="19"/>
      <c r="F4" s="19"/>
      <c r="G4" s="18"/>
      <c r="H4" s="4"/>
      <c r="I4" s="3"/>
      <c r="J4" s="48"/>
      <c r="K4" s="2"/>
      <c r="L4" s="3"/>
      <c r="M4" s="178"/>
      <c r="N4" s="178"/>
      <c r="O4" s="3"/>
      <c r="P4" s="3"/>
      <c r="Q4"/>
      <c r="R4" s="3"/>
      <c r="S4" s="3" t="s">
        <v>98</v>
      </c>
      <c r="T4" s="3"/>
      <c r="U4" s="48"/>
      <c r="V4" s="2"/>
      <c r="W4" s="3"/>
      <c r="X4" s="79"/>
      <c r="Y4" s="79"/>
      <c r="Z4" s="79"/>
      <c r="AA4" s="79"/>
      <c r="AB4" s="79"/>
      <c r="AC4" s="79"/>
    </row>
    <row r="5" spans="1:22" s="16" customFormat="1" ht="15" customHeight="1">
      <c r="A5" s="103" t="s">
        <v>72</v>
      </c>
      <c r="B5" s="18"/>
      <c r="C5" s="18"/>
      <c r="D5" s="18"/>
      <c r="E5" s="19"/>
      <c r="F5" s="19"/>
      <c r="G5" s="18"/>
      <c r="H5" s="3"/>
      <c r="I5" s="3"/>
      <c r="J5" s="3"/>
      <c r="K5" s="3"/>
      <c r="L5" s="3"/>
      <c r="M5" s="33"/>
      <c r="N5" s="33"/>
      <c r="O5" s="79"/>
      <c r="P5" s="79"/>
      <c r="Q5" s="79"/>
      <c r="R5" s="79"/>
      <c r="S5" s="79"/>
      <c r="T5" s="79"/>
      <c r="U5" s="3"/>
      <c r="V5" s="3"/>
    </row>
    <row r="6" spans="1:17" s="16" customFormat="1" ht="15" customHeight="1">
      <c r="A6" s="103" t="s">
        <v>71</v>
      </c>
      <c r="B6" s="18"/>
      <c r="C6" s="18"/>
      <c r="D6" s="18"/>
      <c r="E6" s="19"/>
      <c r="F6" s="19"/>
      <c r="G6" s="18"/>
      <c r="H6" s="5"/>
      <c r="I6" s="20"/>
      <c r="J6" s="18"/>
      <c r="K6" s="18"/>
      <c r="L6" s="18"/>
      <c r="M6" s="18"/>
      <c r="N6" s="18"/>
      <c r="Q6" s="87"/>
    </row>
    <row r="7" spans="1:17" s="16" customFormat="1" ht="15" customHeight="1">
      <c r="A7" s="24"/>
      <c r="B7" s="18"/>
      <c r="C7" s="18"/>
      <c r="D7" s="18"/>
      <c r="E7" s="19"/>
      <c r="F7" s="19"/>
      <c r="G7" s="18"/>
      <c r="H7" s="87"/>
      <c r="I7" s="87"/>
      <c r="J7" s="87"/>
      <c r="K7" s="87"/>
      <c r="L7" s="87"/>
      <c r="M7" s="87" t="s">
        <v>41</v>
      </c>
      <c r="N7" s="87"/>
      <c r="Q7" s="87"/>
    </row>
    <row r="8" spans="1:24" s="88" customFormat="1" ht="15" customHeight="1">
      <c r="A8" s="173" t="s">
        <v>133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14" s="16" customFormat="1" ht="8.25" customHeight="1">
      <c r="A9" s="24"/>
      <c r="B9" s="2"/>
      <c r="C9" s="18"/>
      <c r="D9" s="18"/>
      <c r="E9" s="19"/>
      <c r="F9" s="19"/>
      <c r="G9" s="18"/>
      <c r="H9" s="18"/>
      <c r="I9" s="18"/>
      <c r="J9" s="18"/>
      <c r="K9" s="18"/>
      <c r="L9" s="18"/>
      <c r="M9" s="18"/>
      <c r="N9" s="18"/>
    </row>
    <row r="10" spans="1:31" s="16" customFormat="1" ht="21" customHeight="1">
      <c r="A10" s="174" t="s">
        <v>22</v>
      </c>
      <c r="B10" s="176" t="s">
        <v>32</v>
      </c>
      <c r="C10" s="177" t="s">
        <v>33</v>
      </c>
      <c r="D10" s="177"/>
      <c r="E10" s="167" t="s">
        <v>0</v>
      </c>
      <c r="F10" s="167"/>
      <c r="G10" s="167" t="s">
        <v>34</v>
      </c>
      <c r="H10" s="167"/>
      <c r="I10" s="167"/>
      <c r="J10" s="167"/>
      <c r="K10" s="167"/>
      <c r="L10" s="167"/>
      <c r="M10" s="177" t="s">
        <v>35</v>
      </c>
      <c r="N10" s="177"/>
      <c r="O10" s="172" t="s">
        <v>36</v>
      </c>
      <c r="P10" s="172"/>
      <c r="Q10" s="172"/>
      <c r="R10" s="172"/>
      <c r="S10" s="172"/>
      <c r="T10" s="172"/>
      <c r="U10" s="168" t="s">
        <v>37</v>
      </c>
      <c r="V10" s="168"/>
      <c r="W10" s="168"/>
      <c r="X10" s="168"/>
      <c r="Z10" s="56"/>
      <c r="AA10" s="56"/>
      <c r="AB10" s="56"/>
      <c r="AC10" s="56"/>
      <c r="AD10" s="56"/>
      <c r="AE10" s="56"/>
    </row>
    <row r="11" spans="1:31" s="16" customFormat="1" ht="15" customHeight="1">
      <c r="A11" s="175"/>
      <c r="B11" s="176"/>
      <c r="C11" s="177"/>
      <c r="D11" s="177"/>
      <c r="E11" s="167"/>
      <c r="F11" s="167"/>
      <c r="G11" s="166" t="s">
        <v>1</v>
      </c>
      <c r="H11" s="166"/>
      <c r="I11" s="166" t="s">
        <v>2</v>
      </c>
      <c r="J11" s="166"/>
      <c r="K11" s="166" t="s">
        <v>3</v>
      </c>
      <c r="L11" s="166"/>
      <c r="M11" s="177"/>
      <c r="N11" s="177"/>
      <c r="O11" s="170" t="s">
        <v>66</v>
      </c>
      <c r="P11" s="170"/>
      <c r="Q11" s="170" t="s">
        <v>45</v>
      </c>
      <c r="R11" s="170"/>
      <c r="S11" s="170" t="s">
        <v>38</v>
      </c>
      <c r="T11" s="170"/>
      <c r="U11" s="170" t="s">
        <v>39</v>
      </c>
      <c r="V11" s="170"/>
      <c r="W11" s="170" t="s">
        <v>40</v>
      </c>
      <c r="X11" s="170"/>
      <c r="Z11" s="56"/>
      <c r="AA11" s="56"/>
      <c r="AB11" s="56"/>
      <c r="AC11" s="56"/>
      <c r="AD11" s="56"/>
      <c r="AE11" s="56"/>
    </row>
    <row r="12" spans="1:31" s="16" customFormat="1" ht="15" customHeight="1">
      <c r="A12" s="21" t="s">
        <v>22</v>
      </c>
      <c r="B12" s="90" t="s">
        <v>134</v>
      </c>
      <c r="C12" s="89" t="s">
        <v>19</v>
      </c>
      <c r="D12" s="89" t="s">
        <v>20</v>
      </c>
      <c r="E12" s="89" t="s">
        <v>19</v>
      </c>
      <c r="F12" s="89" t="s">
        <v>20</v>
      </c>
      <c r="G12" s="89" t="s">
        <v>19</v>
      </c>
      <c r="H12" s="89" t="s">
        <v>20</v>
      </c>
      <c r="I12" s="89" t="s">
        <v>19</v>
      </c>
      <c r="J12" s="89" t="s">
        <v>20</v>
      </c>
      <c r="K12" s="89" t="s">
        <v>19</v>
      </c>
      <c r="L12" s="89" t="s">
        <v>20</v>
      </c>
      <c r="M12" s="89" t="s">
        <v>19</v>
      </c>
      <c r="N12" s="89" t="s">
        <v>20</v>
      </c>
      <c r="O12" s="89" t="s">
        <v>19</v>
      </c>
      <c r="P12" s="89" t="s">
        <v>20</v>
      </c>
      <c r="Q12" s="89" t="s">
        <v>19</v>
      </c>
      <c r="R12" s="89" t="s">
        <v>20</v>
      </c>
      <c r="S12" s="89" t="s">
        <v>19</v>
      </c>
      <c r="T12" s="89" t="s">
        <v>20</v>
      </c>
      <c r="U12" s="89" t="s">
        <v>19</v>
      </c>
      <c r="V12" s="89" t="s">
        <v>20</v>
      </c>
      <c r="W12" s="89" t="s">
        <v>19</v>
      </c>
      <c r="X12" s="89" t="s">
        <v>20</v>
      </c>
      <c r="Z12" s="56"/>
      <c r="AA12" s="56"/>
      <c r="AB12" s="56"/>
      <c r="AC12" s="56"/>
      <c r="AD12" s="56"/>
      <c r="AE12" s="56"/>
    </row>
    <row r="13" spans="1:31" ht="15" customHeight="1">
      <c r="A13" s="22"/>
      <c r="B13" s="91" t="s">
        <v>4</v>
      </c>
      <c r="C13" s="92"/>
      <c r="D13" s="92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/>
      <c r="Q13" s="52"/>
      <c r="R13" s="52"/>
      <c r="S13" s="52"/>
      <c r="T13" s="52"/>
      <c r="U13" s="52"/>
      <c r="V13" s="52"/>
      <c r="W13" s="52"/>
      <c r="X13" s="52"/>
      <c r="Z13" s="53"/>
      <c r="AA13" s="53"/>
      <c r="AB13" s="53"/>
      <c r="AC13" s="53"/>
      <c r="AD13" s="53"/>
      <c r="AE13" s="53"/>
    </row>
    <row r="14" spans="1:30" s="7" customFormat="1" ht="15" customHeight="1">
      <c r="A14" s="127" t="s">
        <v>51</v>
      </c>
      <c r="B14" s="23" t="s">
        <v>53</v>
      </c>
      <c r="C14" s="44" t="s">
        <v>82</v>
      </c>
      <c r="D14" s="44" t="s">
        <v>82</v>
      </c>
      <c r="E14" s="28">
        <v>4.03</v>
      </c>
      <c r="F14" s="28">
        <v>4.03</v>
      </c>
      <c r="G14" s="28">
        <v>1.63</v>
      </c>
      <c r="H14" s="29">
        <v>1.63</v>
      </c>
      <c r="I14" s="29">
        <v>4.7</v>
      </c>
      <c r="J14" s="29">
        <v>4.7</v>
      </c>
      <c r="K14" s="29">
        <v>10.4</v>
      </c>
      <c r="L14" s="29">
        <v>10.4</v>
      </c>
      <c r="M14" s="29">
        <v>90.42</v>
      </c>
      <c r="N14" s="29">
        <v>90.42</v>
      </c>
      <c r="O14" s="41">
        <v>0.08</v>
      </c>
      <c r="P14" s="45">
        <v>0.05</v>
      </c>
      <c r="Q14" s="41">
        <v>0.04</v>
      </c>
      <c r="R14" s="45">
        <v>0.02</v>
      </c>
      <c r="S14" s="41">
        <v>0</v>
      </c>
      <c r="T14" s="29">
        <f>S14*25/45</f>
        <v>0</v>
      </c>
      <c r="U14" s="43">
        <v>13.6</v>
      </c>
      <c r="V14" s="47">
        <v>8.6</v>
      </c>
      <c r="W14" s="43">
        <v>0.81</v>
      </c>
      <c r="X14" s="47">
        <v>0.49</v>
      </c>
      <c r="Y14" s="76"/>
      <c r="Z14" s="76"/>
      <c r="AA14" s="76"/>
      <c r="AB14" s="76"/>
      <c r="AC14" s="76"/>
      <c r="AD14" s="76"/>
    </row>
    <row r="15" spans="1:33" s="8" customFormat="1" ht="15" customHeight="1">
      <c r="A15" s="128" t="s">
        <v>26</v>
      </c>
      <c r="B15" s="67" t="s">
        <v>99</v>
      </c>
      <c r="C15" s="106">
        <v>200</v>
      </c>
      <c r="D15" s="106">
        <v>150</v>
      </c>
      <c r="E15" s="61">
        <v>4.33</v>
      </c>
      <c r="F15" s="61">
        <v>3.25</v>
      </c>
      <c r="G15" s="61">
        <v>4.2</v>
      </c>
      <c r="H15" s="62">
        <v>3.15</v>
      </c>
      <c r="I15" s="61">
        <v>8</v>
      </c>
      <c r="J15" s="62">
        <v>6</v>
      </c>
      <c r="K15" s="61">
        <v>28.4</v>
      </c>
      <c r="L15" s="62">
        <f>K15*150/200</f>
        <v>21.3</v>
      </c>
      <c r="M15" s="61">
        <v>202.4</v>
      </c>
      <c r="N15" s="62">
        <v>151.8</v>
      </c>
      <c r="O15" s="66">
        <v>0.03</v>
      </c>
      <c r="P15" s="62">
        <f>O15*125/150</f>
        <v>0.025</v>
      </c>
      <c r="Q15" s="66">
        <v>0.02</v>
      </c>
      <c r="R15" s="62">
        <f>Q15*125/150</f>
        <v>0.016666666666666666</v>
      </c>
      <c r="S15" s="66">
        <v>0</v>
      </c>
      <c r="T15" s="62">
        <f>S15*125/150</f>
        <v>0</v>
      </c>
      <c r="U15" s="66">
        <v>13.28</v>
      </c>
      <c r="V15" s="62">
        <f>U15*125/150</f>
        <v>11.066666666666666</v>
      </c>
      <c r="W15" s="66">
        <v>1.07</v>
      </c>
      <c r="X15" s="70">
        <f>W15*125/150</f>
        <v>0.8916666666666667</v>
      </c>
      <c r="Y15" s="113"/>
      <c r="Z15" s="107"/>
      <c r="AA15" s="107"/>
      <c r="AB15" s="107"/>
      <c r="AC15" s="107"/>
      <c r="AD15" s="107"/>
      <c r="AE15" s="107"/>
      <c r="AF15" s="107"/>
      <c r="AG15" s="107"/>
    </row>
    <row r="16" spans="1:31" ht="15" customHeight="1">
      <c r="A16" s="128" t="s">
        <v>47</v>
      </c>
      <c r="B16" s="64" t="s">
        <v>24</v>
      </c>
      <c r="C16" s="65" t="s">
        <v>5</v>
      </c>
      <c r="D16" s="65" t="s">
        <v>6</v>
      </c>
      <c r="E16" s="61">
        <v>1.89</v>
      </c>
      <c r="F16" s="61">
        <v>1.42</v>
      </c>
      <c r="G16" s="41">
        <v>0</v>
      </c>
      <c r="H16" s="45">
        <v>0</v>
      </c>
      <c r="I16" s="41">
        <v>0</v>
      </c>
      <c r="J16" s="45">
        <f>I16*150/200</f>
        <v>0</v>
      </c>
      <c r="K16" s="41">
        <v>30.6</v>
      </c>
      <c r="L16" s="45">
        <f>K16*150/200</f>
        <v>22.95</v>
      </c>
      <c r="M16" s="41">
        <v>118</v>
      </c>
      <c r="N16" s="45">
        <v>88.5</v>
      </c>
      <c r="O16" s="43">
        <v>0</v>
      </c>
      <c r="P16" s="45">
        <f>O16*150/200</f>
        <v>0</v>
      </c>
      <c r="Q16" s="43">
        <v>0</v>
      </c>
      <c r="R16" s="45">
        <f>Q16*150/200</f>
        <v>0</v>
      </c>
      <c r="S16" s="43">
        <v>0</v>
      </c>
      <c r="T16" s="45">
        <f>S16*150/200</f>
        <v>0</v>
      </c>
      <c r="U16" s="66">
        <f>V16*200/150</f>
        <v>0.2</v>
      </c>
      <c r="V16" s="68">
        <v>0.15</v>
      </c>
      <c r="W16" s="66">
        <f>X16*200/150</f>
        <v>0.02666666666666667</v>
      </c>
      <c r="X16" s="104">
        <v>0.02</v>
      </c>
      <c r="Y16" s="53"/>
      <c r="Z16" s="53"/>
      <c r="AA16" s="53"/>
      <c r="AB16" s="53"/>
      <c r="AC16" s="53"/>
      <c r="AD16" s="53"/>
      <c r="AE16" s="53"/>
    </row>
    <row r="17" spans="1:31" ht="15" customHeight="1">
      <c r="A17" s="22"/>
      <c r="B17" s="23" t="s">
        <v>7</v>
      </c>
      <c r="C17" s="44"/>
      <c r="D17" s="44"/>
      <c r="E17" s="17">
        <f>SUM(E14:E16)</f>
        <v>10.25</v>
      </c>
      <c r="F17" s="17">
        <f>SUM(F14:F16)</f>
        <v>8.7</v>
      </c>
      <c r="G17" s="17">
        <f aca="true" t="shared" si="0" ref="G17:T17">SUM(G14:G16)</f>
        <v>5.83</v>
      </c>
      <c r="H17" s="17">
        <f t="shared" si="0"/>
        <v>4.779999999999999</v>
      </c>
      <c r="I17" s="17">
        <f t="shared" si="0"/>
        <v>12.7</v>
      </c>
      <c r="J17" s="17">
        <f t="shared" si="0"/>
        <v>10.7</v>
      </c>
      <c r="K17" s="17">
        <f t="shared" si="0"/>
        <v>69.4</v>
      </c>
      <c r="L17" s="17">
        <f t="shared" si="0"/>
        <v>54.650000000000006</v>
      </c>
      <c r="M17" s="17">
        <f t="shared" si="0"/>
        <v>410.82</v>
      </c>
      <c r="N17" s="17">
        <f t="shared" si="0"/>
        <v>330.72</v>
      </c>
      <c r="O17" s="17">
        <f t="shared" si="0"/>
        <v>0.11</v>
      </c>
      <c r="P17" s="17">
        <f t="shared" si="0"/>
        <v>0.07500000000000001</v>
      </c>
      <c r="Q17" s="17">
        <f t="shared" si="0"/>
        <v>0.06</v>
      </c>
      <c r="R17" s="17">
        <f t="shared" si="0"/>
        <v>0.03666666666666667</v>
      </c>
      <c r="S17" s="17">
        <f t="shared" si="0"/>
        <v>0</v>
      </c>
      <c r="T17" s="17">
        <f t="shared" si="0"/>
        <v>0</v>
      </c>
      <c r="U17" s="17">
        <f>SUM(U14:U16)</f>
        <v>27.08</v>
      </c>
      <c r="V17" s="17">
        <f>SUM(V14:V16)</f>
        <v>19.816666666666663</v>
      </c>
      <c r="W17" s="17">
        <f>SUM(W14:W16)</f>
        <v>1.9066666666666667</v>
      </c>
      <c r="X17" s="17">
        <f>SUM(X14:X16)</f>
        <v>1.4016666666666668</v>
      </c>
      <c r="Y17" s="72">
        <f>SUM(Y14:Y16)</f>
        <v>0</v>
      </c>
      <c r="Z17" s="58"/>
      <c r="AA17" s="58"/>
      <c r="AB17" s="58"/>
      <c r="AC17" s="58"/>
      <c r="AD17" s="53"/>
      <c r="AE17" s="53"/>
    </row>
    <row r="18" spans="1:31" ht="15" customHeight="1">
      <c r="A18" s="22"/>
      <c r="B18" s="91" t="s">
        <v>8</v>
      </c>
      <c r="C18" s="44"/>
      <c r="D18" s="44"/>
      <c r="E18" s="28"/>
      <c r="F18" s="28"/>
      <c r="G18" s="28"/>
      <c r="H18" s="29"/>
      <c r="I18" s="29"/>
      <c r="J18" s="29"/>
      <c r="K18" s="29"/>
      <c r="L18" s="29"/>
      <c r="M18" s="29"/>
      <c r="N18" s="29"/>
      <c r="O18" s="42"/>
      <c r="P18" s="46"/>
      <c r="Q18" s="46"/>
      <c r="R18" s="46"/>
      <c r="S18" s="46"/>
      <c r="T18" s="46"/>
      <c r="U18" s="46"/>
      <c r="V18" s="46"/>
      <c r="W18" s="46"/>
      <c r="X18" s="73"/>
      <c r="Y18" s="54"/>
      <c r="Z18" s="53"/>
      <c r="AA18" s="53"/>
      <c r="AB18" s="53"/>
      <c r="AC18" s="53"/>
      <c r="AD18" s="53"/>
      <c r="AE18" s="53"/>
    </row>
    <row r="19" spans="1:31" s="1" customFormat="1" ht="15" customHeight="1">
      <c r="A19" s="128" t="s">
        <v>50</v>
      </c>
      <c r="B19" s="64" t="s">
        <v>57</v>
      </c>
      <c r="C19" s="65" t="s">
        <v>5</v>
      </c>
      <c r="D19" s="65" t="s">
        <v>101</v>
      </c>
      <c r="E19" s="61">
        <v>5.64</v>
      </c>
      <c r="F19" s="61">
        <v>4.8</v>
      </c>
      <c r="G19" s="66">
        <v>0</v>
      </c>
      <c r="H19" s="68">
        <v>0</v>
      </c>
      <c r="I19" s="66">
        <f>J19*180/150</f>
        <v>0</v>
      </c>
      <c r="J19" s="68">
        <v>0</v>
      </c>
      <c r="K19" s="66">
        <f>L19*200/170</f>
        <v>11.999999999999998</v>
      </c>
      <c r="L19" s="68">
        <v>10.2</v>
      </c>
      <c r="M19" s="66">
        <f>N19*200/170</f>
        <v>47.99999999999999</v>
      </c>
      <c r="N19" s="68">
        <v>40.8</v>
      </c>
      <c r="O19" s="66">
        <f>P19*180/150</f>
        <v>0</v>
      </c>
      <c r="P19" s="68">
        <v>0</v>
      </c>
      <c r="Q19" s="66">
        <f>R19*180/150</f>
        <v>0.024</v>
      </c>
      <c r="R19" s="68">
        <v>0.02</v>
      </c>
      <c r="S19" s="66">
        <f>T19*200/170</f>
        <v>4</v>
      </c>
      <c r="T19" s="68">
        <v>3.4</v>
      </c>
      <c r="U19" s="66">
        <f>V19*180/150</f>
        <v>9.996</v>
      </c>
      <c r="V19" s="68">
        <v>8.33</v>
      </c>
      <c r="W19" s="66">
        <f>X19*180/150</f>
        <v>0.252</v>
      </c>
      <c r="X19" s="104">
        <v>0.21</v>
      </c>
      <c r="Y19" s="57"/>
      <c r="Z19" s="57"/>
      <c r="AA19" s="57"/>
      <c r="AB19" s="57"/>
      <c r="AC19" s="57"/>
      <c r="AD19" s="57"/>
      <c r="AE19" s="57"/>
    </row>
    <row r="20" spans="1:31" ht="15" customHeight="1">
      <c r="A20" s="22"/>
      <c r="B20" s="23" t="s">
        <v>7</v>
      </c>
      <c r="C20" s="44"/>
      <c r="D20" s="44"/>
      <c r="E20" s="17">
        <f>SUM(E19)</f>
        <v>5.64</v>
      </c>
      <c r="F20" s="17">
        <f>SUM(F19)</f>
        <v>4.8</v>
      </c>
      <c r="G20" s="17">
        <f aca="true" t="shared" si="1" ref="G20:T20">SUM(G19)</f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11.999999999999998</v>
      </c>
      <c r="L20" s="17">
        <f t="shared" si="1"/>
        <v>10.2</v>
      </c>
      <c r="M20" s="17">
        <f t="shared" si="1"/>
        <v>47.99999999999999</v>
      </c>
      <c r="N20" s="17">
        <f t="shared" si="1"/>
        <v>40.8</v>
      </c>
      <c r="O20" s="17">
        <f t="shared" si="1"/>
        <v>0</v>
      </c>
      <c r="P20" s="17">
        <f t="shared" si="1"/>
        <v>0</v>
      </c>
      <c r="Q20" s="17">
        <f t="shared" si="1"/>
        <v>0.024</v>
      </c>
      <c r="R20" s="17">
        <f t="shared" si="1"/>
        <v>0.02</v>
      </c>
      <c r="S20" s="17">
        <f t="shared" si="1"/>
        <v>4</v>
      </c>
      <c r="T20" s="17">
        <f t="shared" si="1"/>
        <v>3.4</v>
      </c>
      <c r="U20" s="17">
        <f>SUM(U19)</f>
        <v>9.996</v>
      </c>
      <c r="V20" s="17">
        <f>SUM(V19)</f>
        <v>8.33</v>
      </c>
      <c r="W20" s="17">
        <f>SUM(W19)</f>
        <v>0.252</v>
      </c>
      <c r="X20" s="17">
        <f>SUM(X19)</f>
        <v>0.21</v>
      </c>
      <c r="Y20" s="72">
        <f>SUM(Y19)</f>
        <v>0</v>
      </c>
      <c r="Z20" s="58"/>
      <c r="AA20" s="58"/>
      <c r="AB20" s="58"/>
      <c r="AC20" s="58"/>
      <c r="AD20" s="53"/>
      <c r="AE20" s="53"/>
    </row>
    <row r="21" spans="1:31" ht="15" customHeight="1">
      <c r="A21" s="22"/>
      <c r="B21" s="91" t="s">
        <v>9</v>
      </c>
      <c r="C21" s="44"/>
      <c r="D21" s="44"/>
      <c r="E21" s="28"/>
      <c r="F21" s="28"/>
      <c r="G21" s="28"/>
      <c r="H21" s="29"/>
      <c r="I21" s="29"/>
      <c r="J21" s="29"/>
      <c r="K21" s="29"/>
      <c r="L21" s="29"/>
      <c r="M21" s="29"/>
      <c r="N21" s="29"/>
      <c r="O21" s="42"/>
      <c r="P21" s="46"/>
      <c r="Q21" s="46"/>
      <c r="R21" s="46"/>
      <c r="S21" s="46"/>
      <c r="T21" s="46"/>
      <c r="U21" s="46"/>
      <c r="V21" s="46"/>
      <c r="W21" s="46"/>
      <c r="X21" s="73"/>
      <c r="Y21" s="54"/>
      <c r="Z21" s="53"/>
      <c r="AA21" s="53"/>
      <c r="AB21" s="53"/>
      <c r="AC21" s="53"/>
      <c r="AD21" s="53"/>
      <c r="AE21" s="53"/>
    </row>
    <row r="22" spans="1:28" ht="15.75" customHeight="1">
      <c r="A22" s="127" t="s">
        <v>138</v>
      </c>
      <c r="B22" s="23" t="s">
        <v>139</v>
      </c>
      <c r="C22" s="44" t="s">
        <v>28</v>
      </c>
      <c r="D22" s="44" t="s">
        <v>107</v>
      </c>
      <c r="E22" s="28">
        <v>2.77</v>
      </c>
      <c r="F22" s="28">
        <v>2.08</v>
      </c>
      <c r="G22" s="28">
        <v>0.9</v>
      </c>
      <c r="H22" s="29">
        <f>G22*45/60</f>
        <v>0.675</v>
      </c>
      <c r="I22" s="28">
        <v>2.4</v>
      </c>
      <c r="J22" s="29">
        <f>I22*45/60</f>
        <v>1.8</v>
      </c>
      <c r="K22" s="28">
        <v>4.8</v>
      </c>
      <c r="L22" s="29">
        <f>K22*45/60</f>
        <v>3.6</v>
      </c>
      <c r="M22" s="28">
        <v>44.4</v>
      </c>
      <c r="N22" s="29">
        <f>M22*45/60</f>
        <v>33.3</v>
      </c>
      <c r="O22" s="41">
        <v>0.04</v>
      </c>
      <c r="P22" s="45">
        <v>0.03</v>
      </c>
      <c r="Q22" s="41">
        <v>0.02</v>
      </c>
      <c r="R22" s="45">
        <v>0.02</v>
      </c>
      <c r="S22" s="28">
        <v>5.88</v>
      </c>
      <c r="T22" s="29">
        <f>S22*45/60</f>
        <v>4.41</v>
      </c>
      <c r="U22" s="29">
        <v>6.13</v>
      </c>
      <c r="V22" s="29">
        <f>U22*45/60</f>
        <v>4.5975</v>
      </c>
      <c r="W22" s="29">
        <v>1.04</v>
      </c>
      <c r="X22" s="29">
        <f>W22*45/60</f>
        <v>0.78</v>
      </c>
      <c r="Z22" s="57"/>
      <c r="AA22" s="57"/>
      <c r="AB22" s="57"/>
    </row>
    <row r="23" spans="1:31" ht="25.5" customHeight="1">
      <c r="A23" s="128" t="s">
        <v>140</v>
      </c>
      <c r="B23" s="145" t="s">
        <v>141</v>
      </c>
      <c r="C23" s="106">
        <v>200</v>
      </c>
      <c r="D23" s="106">
        <v>150</v>
      </c>
      <c r="E23" s="61">
        <v>3.47</v>
      </c>
      <c r="F23" s="61">
        <v>2.6</v>
      </c>
      <c r="G23" s="66">
        <v>1.98</v>
      </c>
      <c r="H23" s="66">
        <v>1.48</v>
      </c>
      <c r="I23" s="66">
        <v>2.42</v>
      </c>
      <c r="J23" s="66">
        <v>1.81</v>
      </c>
      <c r="K23" s="66">
        <v>13.68</v>
      </c>
      <c r="L23" s="66">
        <v>10.26</v>
      </c>
      <c r="M23" s="66">
        <v>84.42</v>
      </c>
      <c r="N23" s="115">
        <v>63.25</v>
      </c>
      <c r="O23" s="146">
        <v>0.11</v>
      </c>
      <c r="P23" s="146">
        <v>0.09</v>
      </c>
      <c r="Q23" s="146">
        <v>0.05</v>
      </c>
      <c r="R23" s="146">
        <v>0.04</v>
      </c>
      <c r="S23" s="146">
        <v>6.6</v>
      </c>
      <c r="T23" s="116">
        <v>4.9</v>
      </c>
      <c r="U23" s="116">
        <v>18.44</v>
      </c>
      <c r="V23" s="116">
        <v>13.83</v>
      </c>
      <c r="W23" s="116">
        <v>0.36</v>
      </c>
      <c r="X23" s="116">
        <v>0.24</v>
      </c>
      <c r="Z23" s="53"/>
      <c r="AA23" s="53"/>
      <c r="AB23" s="53"/>
      <c r="AC23" s="53"/>
      <c r="AD23" s="53"/>
      <c r="AE23" s="53"/>
    </row>
    <row r="24" spans="1:24" ht="15" customHeight="1">
      <c r="A24" s="127" t="s">
        <v>87</v>
      </c>
      <c r="B24" s="23" t="s">
        <v>88</v>
      </c>
      <c r="C24" s="44" t="s">
        <v>74</v>
      </c>
      <c r="D24" s="44" t="s">
        <v>74</v>
      </c>
      <c r="E24" s="28">
        <v>37.63</v>
      </c>
      <c r="F24" s="28">
        <v>37.63</v>
      </c>
      <c r="G24" s="28">
        <v>12.14</v>
      </c>
      <c r="H24" s="29">
        <v>12.14</v>
      </c>
      <c r="I24" s="28">
        <v>8.96</v>
      </c>
      <c r="J24" s="29">
        <v>8.96</v>
      </c>
      <c r="K24" s="28">
        <v>9.4</v>
      </c>
      <c r="L24" s="29">
        <v>9.4</v>
      </c>
      <c r="M24" s="28">
        <v>166.8</v>
      </c>
      <c r="N24" s="29">
        <v>166.8</v>
      </c>
      <c r="O24" s="29">
        <v>0.2</v>
      </c>
      <c r="P24" s="29">
        <v>0.15</v>
      </c>
      <c r="Q24" s="29">
        <v>0.18</v>
      </c>
      <c r="R24" s="29">
        <v>0.11</v>
      </c>
      <c r="S24" s="29">
        <v>24.5</v>
      </c>
      <c r="T24" s="29">
        <v>24.5</v>
      </c>
      <c r="U24" s="29">
        <v>116.61</v>
      </c>
      <c r="V24" s="29">
        <v>91.87</v>
      </c>
      <c r="W24" s="29">
        <v>4.5</v>
      </c>
      <c r="X24" s="29">
        <v>3.19</v>
      </c>
    </row>
    <row r="25" spans="1:31" ht="27" customHeight="1">
      <c r="A25" s="129" t="s">
        <v>95</v>
      </c>
      <c r="B25" s="110" t="s">
        <v>91</v>
      </c>
      <c r="C25" s="106">
        <v>200</v>
      </c>
      <c r="D25" s="106">
        <v>150</v>
      </c>
      <c r="E25" s="61">
        <v>1.62</v>
      </c>
      <c r="F25" s="61">
        <v>1.22</v>
      </c>
      <c r="G25" s="61">
        <v>0.6</v>
      </c>
      <c r="H25" s="62">
        <f>G25*150/200</f>
        <v>0.45</v>
      </c>
      <c r="I25" s="61">
        <v>0</v>
      </c>
      <c r="J25" s="62">
        <f>I25*150/200</f>
        <v>0</v>
      </c>
      <c r="K25" s="61">
        <v>31.4</v>
      </c>
      <c r="L25" s="62">
        <f>K25*150/200</f>
        <v>23.55</v>
      </c>
      <c r="M25" s="61">
        <v>124</v>
      </c>
      <c r="N25" s="62">
        <f>M25*150/200</f>
        <v>93</v>
      </c>
      <c r="O25" s="62">
        <v>0.02</v>
      </c>
      <c r="P25" s="62">
        <f>O25*150/200</f>
        <v>0.015</v>
      </c>
      <c r="Q25" s="62">
        <v>0.03</v>
      </c>
      <c r="R25" s="62">
        <f>Q25*150/200</f>
        <v>0.0225</v>
      </c>
      <c r="S25" s="62">
        <v>0.45</v>
      </c>
      <c r="T25" s="62">
        <f>S25*150/200</f>
        <v>0.3375</v>
      </c>
      <c r="U25" s="62">
        <v>12.3</v>
      </c>
      <c r="V25" s="62">
        <f>U25*150/200</f>
        <v>9.225</v>
      </c>
      <c r="W25" s="70">
        <v>2</v>
      </c>
      <c r="X25" s="82">
        <f>W25*150/200</f>
        <v>1.5</v>
      </c>
      <c r="Y25" s="53"/>
      <c r="Z25" s="53"/>
      <c r="AA25" s="53"/>
      <c r="AB25" s="53"/>
      <c r="AC25" s="53"/>
      <c r="AD25" s="53"/>
      <c r="AE25" s="53"/>
    </row>
    <row r="26" spans="1:31" s="16" customFormat="1" ht="15" customHeight="1">
      <c r="A26" s="127"/>
      <c r="B26" s="23" t="s">
        <v>11</v>
      </c>
      <c r="C26" s="44" t="s">
        <v>14</v>
      </c>
      <c r="D26" s="44" t="s">
        <v>14</v>
      </c>
      <c r="E26" s="28">
        <v>1.11</v>
      </c>
      <c r="F26" s="28">
        <v>1.11</v>
      </c>
      <c r="G26" s="28">
        <v>1.6</v>
      </c>
      <c r="H26" s="28">
        <v>1.6</v>
      </c>
      <c r="I26" s="28">
        <v>0.4</v>
      </c>
      <c r="J26" s="28">
        <v>0.4</v>
      </c>
      <c r="K26" s="28">
        <v>10</v>
      </c>
      <c r="L26" s="28">
        <v>10</v>
      </c>
      <c r="M26" s="29">
        <v>54</v>
      </c>
      <c r="N26" s="29">
        <v>54</v>
      </c>
      <c r="O26" s="43">
        <v>0.04</v>
      </c>
      <c r="P26" s="47">
        <v>0.04</v>
      </c>
      <c r="Q26" s="43">
        <v>0.02</v>
      </c>
      <c r="R26" s="47">
        <v>0.02</v>
      </c>
      <c r="S26" s="43">
        <v>0</v>
      </c>
      <c r="T26" s="47">
        <v>0</v>
      </c>
      <c r="U26" s="43">
        <v>7.4</v>
      </c>
      <c r="V26" s="47">
        <v>7.4</v>
      </c>
      <c r="W26" s="43">
        <v>0.56</v>
      </c>
      <c r="X26" s="47">
        <v>0.56</v>
      </c>
      <c r="Y26" s="56"/>
      <c r="Z26" s="56"/>
      <c r="AA26" s="56"/>
      <c r="AB26" s="56"/>
      <c r="AC26" s="56"/>
      <c r="AD26" s="56"/>
      <c r="AE26" s="56"/>
    </row>
    <row r="27" spans="1:31" ht="15" customHeight="1">
      <c r="A27" s="127"/>
      <c r="B27" s="23" t="s">
        <v>46</v>
      </c>
      <c r="C27" s="44" t="s">
        <v>76</v>
      </c>
      <c r="D27" s="44" t="s">
        <v>77</v>
      </c>
      <c r="E27" s="28">
        <v>2.09</v>
      </c>
      <c r="F27" s="28">
        <v>1.83</v>
      </c>
      <c r="G27" s="28">
        <v>3.25</v>
      </c>
      <c r="H27" s="29">
        <v>2.84</v>
      </c>
      <c r="I27" s="29">
        <v>0.46</v>
      </c>
      <c r="J27" s="29">
        <f>I27*40.6/46</f>
        <v>0.406</v>
      </c>
      <c r="K27" s="29">
        <v>20.88</v>
      </c>
      <c r="L27" s="29">
        <v>18.27</v>
      </c>
      <c r="M27" s="29">
        <v>102.08</v>
      </c>
      <c r="N27" s="29">
        <v>89.32</v>
      </c>
      <c r="O27" s="41">
        <v>0.06</v>
      </c>
      <c r="P27" s="45">
        <v>0.04</v>
      </c>
      <c r="Q27" s="41">
        <v>0.04</v>
      </c>
      <c r="R27" s="45">
        <v>0.03</v>
      </c>
      <c r="S27" s="41">
        <v>0</v>
      </c>
      <c r="T27" s="29">
        <f>S27*40.6/46</f>
        <v>0</v>
      </c>
      <c r="U27" s="43">
        <v>17</v>
      </c>
      <c r="V27" s="47">
        <v>13.6</v>
      </c>
      <c r="W27" s="43">
        <v>1.15</v>
      </c>
      <c r="X27" s="47">
        <v>0.92</v>
      </c>
      <c r="Y27" s="53"/>
      <c r="Z27" s="53"/>
      <c r="AA27" s="53"/>
      <c r="AB27" s="53"/>
      <c r="AC27" s="53"/>
      <c r="AD27" s="53"/>
      <c r="AE27" s="53"/>
    </row>
    <row r="28" spans="1:31" ht="15" customHeight="1">
      <c r="A28" s="22"/>
      <c r="B28" s="23" t="s">
        <v>7</v>
      </c>
      <c r="C28" s="44"/>
      <c r="D28" s="44"/>
      <c r="E28" s="17">
        <f>SUM(E22:E27)</f>
        <v>48.69</v>
      </c>
      <c r="F28" s="17">
        <f>SUM(F22:F27)</f>
        <v>46.47</v>
      </c>
      <c r="G28" s="17">
        <f aca="true" t="shared" si="2" ref="G28:R28">SUM(G22:G27)</f>
        <v>20.47</v>
      </c>
      <c r="H28" s="17">
        <f t="shared" si="2"/>
        <v>19.185000000000002</v>
      </c>
      <c r="I28" s="17">
        <f>SUM(I22:I27)+3</f>
        <v>17.64</v>
      </c>
      <c r="J28" s="17">
        <f>SUM(J22:J27)+0</f>
        <v>13.376000000000001</v>
      </c>
      <c r="K28" s="17">
        <f t="shared" si="2"/>
        <v>90.16</v>
      </c>
      <c r="L28" s="17">
        <f t="shared" si="2"/>
        <v>75.08</v>
      </c>
      <c r="M28" s="17">
        <f>SUM(M22:M27)-0</f>
        <v>575.7</v>
      </c>
      <c r="N28" s="17">
        <f>SUM(N22:N27)-29</f>
        <v>470.67</v>
      </c>
      <c r="O28" s="17">
        <f t="shared" si="2"/>
        <v>0.47</v>
      </c>
      <c r="P28" s="17">
        <f t="shared" si="2"/>
        <v>0.365</v>
      </c>
      <c r="Q28" s="17">
        <f t="shared" si="2"/>
        <v>0.34</v>
      </c>
      <c r="R28" s="17">
        <f t="shared" si="2"/>
        <v>0.24249999999999997</v>
      </c>
      <c r="S28" s="17">
        <f>SUM(S22:S27)-5</f>
        <v>32.43000000000001</v>
      </c>
      <c r="T28" s="17">
        <f>SUM(T22:T27)-5</f>
        <v>29.1475</v>
      </c>
      <c r="U28" s="17">
        <f>SUM(U22:U27)</f>
        <v>177.88000000000002</v>
      </c>
      <c r="V28" s="17">
        <f>SUM(V22:V27)</f>
        <v>140.5225</v>
      </c>
      <c r="W28" s="17">
        <f>SUM(W22:W27)</f>
        <v>9.610000000000001</v>
      </c>
      <c r="X28" s="17">
        <f>SUM(X22:X27)</f>
        <v>7.1899999999999995</v>
      </c>
      <c r="Y28" s="63"/>
      <c r="Z28" s="58"/>
      <c r="AA28" s="58"/>
      <c r="AB28" s="58"/>
      <c r="AC28" s="58"/>
      <c r="AD28" s="53"/>
      <c r="AE28" s="53"/>
    </row>
    <row r="29" spans="1:31" ht="15" customHeight="1">
      <c r="A29" s="22"/>
      <c r="B29" s="91" t="s">
        <v>12</v>
      </c>
      <c r="C29" s="44"/>
      <c r="D29" s="44"/>
      <c r="E29" s="28"/>
      <c r="F29" s="28"/>
      <c r="G29" s="28"/>
      <c r="H29" s="29"/>
      <c r="I29" s="29"/>
      <c r="J29" s="29"/>
      <c r="K29" s="29"/>
      <c r="L29" s="29"/>
      <c r="M29" s="29"/>
      <c r="N29" s="29"/>
      <c r="O29" s="42"/>
      <c r="P29" s="46"/>
      <c r="Q29" s="46"/>
      <c r="R29" s="46"/>
      <c r="S29" s="46"/>
      <c r="T29" s="46"/>
      <c r="U29" s="46"/>
      <c r="V29" s="46"/>
      <c r="W29" s="46"/>
      <c r="X29" s="73"/>
      <c r="Y29" s="54"/>
      <c r="Z29" s="53"/>
      <c r="AA29" s="53"/>
      <c r="AB29" s="53"/>
      <c r="AC29" s="53"/>
      <c r="AD29" s="53"/>
      <c r="AE29" s="53"/>
    </row>
    <row r="30" spans="1:30" ht="26.25" customHeight="1">
      <c r="A30" s="127" t="s">
        <v>21</v>
      </c>
      <c r="B30" s="23" t="s">
        <v>125</v>
      </c>
      <c r="C30" s="44" t="s">
        <v>126</v>
      </c>
      <c r="D30" s="44" t="s">
        <v>126</v>
      </c>
      <c r="E30" s="28">
        <v>11.8</v>
      </c>
      <c r="F30" s="28">
        <v>11.8</v>
      </c>
      <c r="G30" s="140">
        <v>6.75</v>
      </c>
      <c r="H30" s="29">
        <v>6.75</v>
      </c>
      <c r="I30" s="140">
        <v>7.02</v>
      </c>
      <c r="J30" s="29">
        <v>7.02</v>
      </c>
      <c r="K30" s="140">
        <v>21.15</v>
      </c>
      <c r="L30" s="29">
        <v>21.15</v>
      </c>
      <c r="M30" s="140">
        <v>174.78</v>
      </c>
      <c r="N30" s="29">
        <v>174.78</v>
      </c>
      <c r="O30" s="140">
        <v>0.1</v>
      </c>
      <c r="P30" s="29">
        <f>O30*215/230</f>
        <v>0.09347826086956522</v>
      </c>
      <c r="Q30" s="140">
        <v>0.29</v>
      </c>
      <c r="R30" s="29">
        <f>Q30*215/230</f>
        <v>0.2710869565217391</v>
      </c>
      <c r="S30" s="140">
        <v>2.46</v>
      </c>
      <c r="T30" s="29">
        <v>2.46</v>
      </c>
      <c r="U30" s="28">
        <v>275.74</v>
      </c>
      <c r="V30" s="29">
        <v>275.74</v>
      </c>
      <c r="W30" s="28">
        <v>0.23</v>
      </c>
      <c r="X30" s="74">
        <v>0.23</v>
      </c>
      <c r="Y30" s="59"/>
      <c r="Z30" s="57"/>
      <c r="AA30" s="57"/>
      <c r="AB30" s="57"/>
      <c r="AC30" s="57"/>
      <c r="AD30" s="1"/>
    </row>
    <row r="31" spans="1:32" ht="15" customHeight="1">
      <c r="A31" s="60"/>
      <c r="B31" s="64" t="s">
        <v>7</v>
      </c>
      <c r="C31" s="114"/>
      <c r="D31" s="114"/>
      <c r="E31" s="121">
        <f>SUM(E30)</f>
        <v>11.8</v>
      </c>
      <c r="F31" s="121">
        <f>SUM(F30)</f>
        <v>11.8</v>
      </c>
      <c r="G31" s="121">
        <f aca="true" t="shared" si="3" ref="G31:T31">SUM(G30)</f>
        <v>6.75</v>
      </c>
      <c r="H31" s="121">
        <f t="shared" si="3"/>
        <v>6.75</v>
      </c>
      <c r="I31" s="121">
        <f t="shared" si="3"/>
        <v>7.02</v>
      </c>
      <c r="J31" s="121">
        <f t="shared" si="3"/>
        <v>7.02</v>
      </c>
      <c r="K31" s="121">
        <f t="shared" si="3"/>
        <v>21.15</v>
      </c>
      <c r="L31" s="121">
        <f t="shared" si="3"/>
        <v>21.15</v>
      </c>
      <c r="M31" s="121">
        <f t="shared" si="3"/>
        <v>174.78</v>
      </c>
      <c r="N31" s="121">
        <f t="shared" si="3"/>
        <v>174.78</v>
      </c>
      <c r="O31" s="121">
        <f t="shared" si="3"/>
        <v>0.1</v>
      </c>
      <c r="P31" s="121">
        <f t="shared" si="3"/>
        <v>0.09347826086956522</v>
      </c>
      <c r="Q31" s="121">
        <f t="shared" si="3"/>
        <v>0.29</v>
      </c>
      <c r="R31" s="121">
        <f t="shared" si="3"/>
        <v>0.2710869565217391</v>
      </c>
      <c r="S31" s="121">
        <f t="shared" si="3"/>
        <v>2.46</v>
      </c>
      <c r="T31" s="121">
        <f t="shared" si="3"/>
        <v>2.46</v>
      </c>
      <c r="U31" s="81">
        <f>SUM(U30:U30)</f>
        <v>275.74</v>
      </c>
      <c r="V31" s="81">
        <f>SUM(V30:V30)</f>
        <v>275.74</v>
      </c>
      <c r="W31" s="81">
        <f>SUM(W30:W30)</f>
        <v>0.23</v>
      </c>
      <c r="X31" s="122">
        <f>SUM(X30:X30)</f>
        <v>0.23</v>
      </c>
      <c r="Y31" s="58"/>
      <c r="Z31" s="58"/>
      <c r="AA31" s="58"/>
      <c r="AB31" s="58"/>
      <c r="AC31" s="58"/>
      <c r="AD31" s="53"/>
      <c r="AE31" s="53"/>
      <c r="AF31" s="53"/>
    </row>
    <row r="32" spans="1:31" ht="15" customHeight="1">
      <c r="A32" s="22"/>
      <c r="B32" s="91" t="s">
        <v>13</v>
      </c>
      <c r="C32" s="44"/>
      <c r="D32" s="44"/>
      <c r="E32" s="28"/>
      <c r="F32" s="28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74"/>
      <c r="Y32" s="59"/>
      <c r="Z32" s="57"/>
      <c r="AA32" s="57"/>
      <c r="AB32" s="57"/>
      <c r="AC32" s="57"/>
      <c r="AD32" s="57"/>
      <c r="AE32" s="53"/>
    </row>
    <row r="33" spans="1:33" ht="15" customHeight="1">
      <c r="A33" s="128"/>
      <c r="B33" s="64" t="s">
        <v>127</v>
      </c>
      <c r="C33" s="65" t="s">
        <v>6</v>
      </c>
      <c r="D33" s="65" t="s">
        <v>106</v>
      </c>
      <c r="E33" s="61">
        <v>9.87</v>
      </c>
      <c r="F33" s="61">
        <v>8.88</v>
      </c>
      <c r="G33" s="61">
        <v>0.59</v>
      </c>
      <c r="H33" s="62">
        <f>G33*135/150</f>
        <v>0.5309999999999999</v>
      </c>
      <c r="I33" s="61">
        <v>0</v>
      </c>
      <c r="J33" s="62">
        <v>0</v>
      </c>
      <c r="K33" s="61">
        <v>14.51</v>
      </c>
      <c r="L33" s="62">
        <f>K33*135/150</f>
        <v>13.059</v>
      </c>
      <c r="M33" s="61">
        <v>56.26</v>
      </c>
      <c r="N33" s="62">
        <f>M33*135/150</f>
        <v>50.63399999999999</v>
      </c>
      <c r="O33" s="61">
        <v>0.02</v>
      </c>
      <c r="P33" s="62">
        <v>0.02</v>
      </c>
      <c r="Q33" s="61">
        <f>R33*160/150</f>
        <v>0.05333333333333334</v>
      </c>
      <c r="R33" s="62">
        <v>0.05</v>
      </c>
      <c r="S33" s="61">
        <v>23.69</v>
      </c>
      <c r="T33" s="62">
        <f>S33*135/150</f>
        <v>21.321</v>
      </c>
      <c r="U33" s="61">
        <v>24</v>
      </c>
      <c r="V33" s="62">
        <v>24</v>
      </c>
      <c r="W33" s="61">
        <v>3.3</v>
      </c>
      <c r="X33" s="70">
        <v>3.3</v>
      </c>
      <c r="Y33" s="54"/>
      <c r="Z33" s="57"/>
      <c r="AA33" s="57"/>
      <c r="AB33" s="57"/>
      <c r="AC33" s="53"/>
      <c r="AD33" s="53"/>
      <c r="AE33" s="53"/>
      <c r="AF33" s="53"/>
      <c r="AG33" s="53"/>
    </row>
    <row r="34" spans="1:29" s="7" customFormat="1" ht="25.5">
      <c r="A34" s="131" t="s">
        <v>162</v>
      </c>
      <c r="B34" s="23" t="s">
        <v>163</v>
      </c>
      <c r="C34" s="44" t="s">
        <v>164</v>
      </c>
      <c r="D34" s="44" t="s">
        <v>164</v>
      </c>
      <c r="E34" s="28">
        <v>10.56</v>
      </c>
      <c r="F34" s="28">
        <v>10.56</v>
      </c>
      <c r="G34" s="28">
        <v>8.6</v>
      </c>
      <c r="H34" s="29">
        <v>8.6</v>
      </c>
      <c r="I34" s="29">
        <v>4.11</v>
      </c>
      <c r="J34" s="29">
        <v>4.11</v>
      </c>
      <c r="K34" s="29">
        <v>10.54</v>
      </c>
      <c r="L34" s="29">
        <v>10.54</v>
      </c>
      <c r="M34" s="29">
        <v>114</v>
      </c>
      <c r="N34" s="29">
        <v>114</v>
      </c>
      <c r="O34" s="29">
        <v>0.09</v>
      </c>
      <c r="P34" s="29">
        <v>0.09</v>
      </c>
      <c r="Q34" s="29">
        <v>0.1</v>
      </c>
      <c r="R34" s="29">
        <v>0.1</v>
      </c>
      <c r="S34" s="29">
        <v>1.36</v>
      </c>
      <c r="T34" s="29">
        <v>1.36</v>
      </c>
      <c r="U34" s="29">
        <v>23.97</v>
      </c>
      <c r="V34" s="29">
        <v>23.97</v>
      </c>
      <c r="W34" s="29">
        <v>0.61</v>
      </c>
      <c r="X34" s="29">
        <v>0.61</v>
      </c>
      <c r="Y34" s="77"/>
      <c r="Z34" s="83"/>
      <c r="AA34" s="83"/>
      <c r="AB34" s="83"/>
      <c r="AC34" s="77"/>
    </row>
    <row r="35" spans="1:24" s="1" customFormat="1" ht="15" customHeight="1">
      <c r="A35" s="127" t="s">
        <v>114</v>
      </c>
      <c r="B35" s="23" t="s">
        <v>115</v>
      </c>
      <c r="C35" s="44" t="s">
        <v>6</v>
      </c>
      <c r="D35" s="44" t="s">
        <v>89</v>
      </c>
      <c r="E35" s="28">
        <v>6.1</v>
      </c>
      <c r="F35" s="28">
        <v>4.07</v>
      </c>
      <c r="G35" s="28">
        <f>H35*150/100</f>
        <v>2.88</v>
      </c>
      <c r="H35" s="29">
        <v>1.92</v>
      </c>
      <c r="I35" s="28">
        <f>J35*150/100</f>
        <v>4.32</v>
      </c>
      <c r="J35" s="29">
        <v>2.88</v>
      </c>
      <c r="K35" s="28">
        <f>L35*150/100</f>
        <v>22.995</v>
      </c>
      <c r="L35" s="29">
        <v>15.33</v>
      </c>
      <c r="M35" s="28">
        <f>N35*150/100</f>
        <v>142.35</v>
      </c>
      <c r="N35" s="29">
        <v>94.9</v>
      </c>
      <c r="O35" s="28">
        <f>P35*150/100</f>
        <v>0.18</v>
      </c>
      <c r="P35" s="29">
        <v>0.12</v>
      </c>
      <c r="Q35" s="28">
        <f>R35*150/100</f>
        <v>0.075</v>
      </c>
      <c r="R35" s="29">
        <v>0.05</v>
      </c>
      <c r="S35" s="28">
        <f>T35*150/100</f>
        <v>21</v>
      </c>
      <c r="T35" s="29">
        <v>14</v>
      </c>
      <c r="U35" s="28">
        <f>V35*150/100</f>
        <v>16.155</v>
      </c>
      <c r="V35" s="29">
        <v>10.77</v>
      </c>
      <c r="W35" s="28">
        <f>X35*150/100</f>
        <v>1.365</v>
      </c>
      <c r="X35" s="29">
        <v>0.91</v>
      </c>
    </row>
    <row r="36" spans="1:31" ht="15" customHeight="1">
      <c r="A36" s="128" t="s">
        <v>83</v>
      </c>
      <c r="B36" s="67" t="s">
        <v>84</v>
      </c>
      <c r="C36" s="65" t="s">
        <v>5</v>
      </c>
      <c r="D36" s="65" t="s">
        <v>6</v>
      </c>
      <c r="E36" s="61">
        <v>0.55</v>
      </c>
      <c r="F36" s="61">
        <v>0.41</v>
      </c>
      <c r="G36" s="61">
        <v>0.18</v>
      </c>
      <c r="H36" s="62">
        <v>0.13</v>
      </c>
      <c r="I36" s="61">
        <f>J36*200/150</f>
        <v>0</v>
      </c>
      <c r="J36" s="62">
        <v>0</v>
      </c>
      <c r="K36" s="61">
        <v>4.78</v>
      </c>
      <c r="L36" s="62">
        <v>3.58</v>
      </c>
      <c r="M36" s="61">
        <v>19.9</v>
      </c>
      <c r="N36" s="62">
        <v>14.92</v>
      </c>
      <c r="O36" s="61">
        <f>P36*200/150</f>
        <v>0.013333333333333334</v>
      </c>
      <c r="P36" s="69">
        <v>0.01</v>
      </c>
      <c r="Q36" s="61">
        <f>R36*200/150</f>
        <v>0.013333333333333334</v>
      </c>
      <c r="R36" s="69">
        <v>0.01</v>
      </c>
      <c r="S36" s="61">
        <v>0.04</v>
      </c>
      <c r="T36" s="69">
        <v>0.03</v>
      </c>
      <c r="U36" s="61">
        <f>V36*200/150</f>
        <v>5.053333333333334</v>
      </c>
      <c r="V36" s="69">
        <v>3.79</v>
      </c>
      <c r="W36" s="61">
        <f>X36*200/150</f>
        <v>0.84</v>
      </c>
      <c r="X36" s="118">
        <v>0.63</v>
      </c>
      <c r="Y36" s="53"/>
      <c r="Z36" s="53"/>
      <c r="AA36" s="53"/>
      <c r="AB36" s="53"/>
      <c r="AC36" s="53"/>
      <c r="AD36" s="53"/>
      <c r="AE36" s="53"/>
    </row>
    <row r="37" spans="1:31" s="16" customFormat="1" ht="15" customHeight="1">
      <c r="A37" s="127"/>
      <c r="B37" s="23" t="s">
        <v>11</v>
      </c>
      <c r="C37" s="44" t="s">
        <v>14</v>
      </c>
      <c r="D37" s="44" t="s">
        <v>14</v>
      </c>
      <c r="E37" s="28">
        <v>1.11</v>
      </c>
      <c r="F37" s="28">
        <v>1.11</v>
      </c>
      <c r="G37" s="28">
        <v>1.6</v>
      </c>
      <c r="H37" s="28">
        <v>1.6</v>
      </c>
      <c r="I37" s="28">
        <v>0.4</v>
      </c>
      <c r="J37" s="28">
        <v>0.4</v>
      </c>
      <c r="K37" s="28">
        <v>10</v>
      </c>
      <c r="L37" s="28">
        <v>10</v>
      </c>
      <c r="M37" s="29">
        <v>54</v>
      </c>
      <c r="N37" s="29">
        <v>54</v>
      </c>
      <c r="O37" s="43">
        <v>0.04</v>
      </c>
      <c r="P37" s="47">
        <v>0.04</v>
      </c>
      <c r="Q37" s="43">
        <v>0.02</v>
      </c>
      <c r="R37" s="47">
        <v>0.02</v>
      </c>
      <c r="S37" s="43">
        <v>0</v>
      </c>
      <c r="T37" s="47">
        <v>0</v>
      </c>
      <c r="U37" s="43">
        <v>7.4</v>
      </c>
      <c r="V37" s="47">
        <v>7.4</v>
      </c>
      <c r="W37" s="43">
        <v>0.56</v>
      </c>
      <c r="X37" s="47">
        <v>0.56</v>
      </c>
      <c r="Y37" s="56"/>
      <c r="Z37" s="56"/>
      <c r="AA37" s="56"/>
      <c r="AB37" s="56"/>
      <c r="AC37" s="56"/>
      <c r="AD37" s="56"/>
      <c r="AE37" s="56"/>
    </row>
    <row r="38" spans="1:31" ht="15" customHeight="1">
      <c r="A38" s="22"/>
      <c r="B38" s="23" t="s">
        <v>7</v>
      </c>
      <c r="C38" s="44"/>
      <c r="D38" s="44"/>
      <c r="E38" s="17">
        <f>SUM(E33:E37)</f>
        <v>28.19</v>
      </c>
      <c r="F38" s="17">
        <f>SUM(F33:F37)</f>
        <v>25.03</v>
      </c>
      <c r="G38" s="17">
        <f aca="true" t="shared" si="4" ref="G38:T38">SUM(G33:G37)</f>
        <v>13.85</v>
      </c>
      <c r="H38" s="17">
        <f t="shared" si="4"/>
        <v>12.781</v>
      </c>
      <c r="I38" s="17">
        <f t="shared" si="4"/>
        <v>8.83</v>
      </c>
      <c r="J38" s="17">
        <f t="shared" si="4"/>
        <v>7.390000000000001</v>
      </c>
      <c r="K38" s="17">
        <f t="shared" si="4"/>
        <v>62.825</v>
      </c>
      <c r="L38" s="17">
        <f t="shared" si="4"/>
        <v>52.50899999999999</v>
      </c>
      <c r="M38" s="17">
        <f t="shared" si="4"/>
        <v>386.51</v>
      </c>
      <c r="N38" s="17">
        <f t="shared" si="4"/>
        <v>328.454</v>
      </c>
      <c r="O38" s="17">
        <f t="shared" si="4"/>
        <v>0.34333333333333327</v>
      </c>
      <c r="P38" s="17">
        <f t="shared" si="4"/>
        <v>0.27999999999999997</v>
      </c>
      <c r="Q38" s="17">
        <f t="shared" si="4"/>
        <v>0.26166666666666666</v>
      </c>
      <c r="R38" s="17">
        <f t="shared" si="4"/>
        <v>0.23</v>
      </c>
      <c r="S38" s="17">
        <f t="shared" si="4"/>
        <v>46.089999999999996</v>
      </c>
      <c r="T38" s="17">
        <f t="shared" si="4"/>
        <v>36.711</v>
      </c>
      <c r="U38" s="17">
        <f>SUM(U33:U37)</f>
        <v>76.57833333333333</v>
      </c>
      <c r="V38" s="17">
        <f>SUM(V33:V37)</f>
        <v>69.92999999999999</v>
      </c>
      <c r="W38" s="17">
        <f>SUM(W33:W37)</f>
        <v>6.674999999999999</v>
      </c>
      <c r="X38" s="17">
        <f>SUM(X33:X37)</f>
        <v>6.01</v>
      </c>
      <c r="Y38" s="72">
        <f>SUM(Y33:Y37)</f>
        <v>0</v>
      </c>
      <c r="Z38" s="58"/>
      <c r="AA38" s="58"/>
      <c r="AB38" s="58"/>
      <c r="AC38" s="58"/>
      <c r="AD38" s="53"/>
      <c r="AE38" s="53"/>
    </row>
    <row r="39" spans="1:31" ht="15" customHeight="1">
      <c r="A39" s="22"/>
      <c r="B39" s="23" t="s">
        <v>15</v>
      </c>
      <c r="C39" s="44"/>
      <c r="D39" s="44"/>
      <c r="E39" s="17">
        <f>E38+E31+E28+E20+E17</f>
        <v>104.57000000000001</v>
      </c>
      <c r="F39" s="17">
        <f>F38+F31+F28+F20+F17</f>
        <v>96.8</v>
      </c>
      <c r="G39" s="17">
        <f aca="true" t="shared" si="5" ref="G39:T39">G38+G31+G28+G20+G17</f>
        <v>46.9</v>
      </c>
      <c r="H39" s="17">
        <f t="shared" si="5"/>
        <v>43.496</v>
      </c>
      <c r="I39" s="17">
        <f t="shared" si="5"/>
        <v>46.19</v>
      </c>
      <c r="J39" s="17">
        <f t="shared" si="5"/>
        <v>38.486000000000004</v>
      </c>
      <c r="K39" s="17">
        <f t="shared" si="5"/>
        <v>255.535</v>
      </c>
      <c r="L39" s="17">
        <f t="shared" si="5"/>
        <v>213.58899999999997</v>
      </c>
      <c r="M39" s="17">
        <f t="shared" si="5"/>
        <v>1595.81</v>
      </c>
      <c r="N39" s="17">
        <f t="shared" si="5"/>
        <v>1345.424</v>
      </c>
      <c r="O39" s="17">
        <f t="shared" si="5"/>
        <v>1.0233333333333332</v>
      </c>
      <c r="P39" s="17">
        <f t="shared" si="5"/>
        <v>0.8134782608695652</v>
      </c>
      <c r="Q39" s="17">
        <f t="shared" si="5"/>
        <v>0.9756666666666667</v>
      </c>
      <c r="R39" s="17">
        <f t="shared" si="5"/>
        <v>0.8002536231884056</v>
      </c>
      <c r="S39" s="17">
        <f t="shared" si="5"/>
        <v>84.98</v>
      </c>
      <c r="T39" s="17">
        <f t="shared" si="5"/>
        <v>71.7185</v>
      </c>
      <c r="U39" s="17">
        <f>U38+U31+U28+U20+U17</f>
        <v>567.2743333333334</v>
      </c>
      <c r="V39" s="17">
        <f>V38+V31+V28+V20+V17</f>
        <v>514.3391666666666</v>
      </c>
      <c r="W39" s="17">
        <f>W38+W31+W28+W20+W17</f>
        <v>18.673666666666666</v>
      </c>
      <c r="X39" s="17">
        <f>X38+X31+X28+X20+X17</f>
        <v>15.041666666666668</v>
      </c>
      <c r="Y39" s="72">
        <f>Y38+Y31+Y28+Y20+Y17</f>
        <v>0</v>
      </c>
      <c r="Z39" s="58"/>
      <c r="AA39" s="58"/>
      <c r="AB39" s="58"/>
      <c r="AC39" s="58"/>
      <c r="AD39" s="53"/>
      <c r="AE39" s="53"/>
    </row>
    <row r="40" spans="1:31" ht="15" customHeight="1">
      <c r="A40" s="22"/>
      <c r="B40" s="23"/>
      <c r="C40" s="44"/>
      <c r="D40" s="4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72"/>
      <c r="Y40" s="63"/>
      <c r="Z40" s="58"/>
      <c r="AA40" s="58"/>
      <c r="AB40" s="58"/>
      <c r="AC40" s="58"/>
      <c r="AD40" s="53"/>
      <c r="AE40" s="53"/>
    </row>
    <row r="41" spans="1:31" ht="15" customHeight="1">
      <c r="A41" s="22"/>
      <c r="B41" s="23"/>
      <c r="C41" s="44"/>
      <c r="D41" s="4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72"/>
      <c r="Y41" s="63"/>
      <c r="Z41" s="58"/>
      <c r="AA41" s="58"/>
      <c r="AB41" s="58"/>
      <c r="AC41" s="58"/>
      <c r="AD41" s="53"/>
      <c r="AE41" s="53"/>
    </row>
    <row r="42" spans="1:31" ht="15" customHeight="1">
      <c r="A42" s="22"/>
      <c r="B42" s="144" t="s">
        <v>135</v>
      </c>
      <c r="C42" s="44"/>
      <c r="D42" s="44"/>
      <c r="E42" s="28"/>
      <c r="F42" s="28"/>
      <c r="G42" s="28"/>
      <c r="H42" s="29"/>
      <c r="I42" s="29"/>
      <c r="J42" s="29"/>
      <c r="K42" s="29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75"/>
      <c r="Y42" s="54"/>
      <c r="Z42" s="53"/>
      <c r="AA42" s="53"/>
      <c r="AB42" s="53"/>
      <c r="AC42" s="53"/>
      <c r="AD42" s="53"/>
      <c r="AE42" s="53"/>
    </row>
    <row r="43" spans="1:31" ht="15" customHeight="1">
      <c r="A43" s="22"/>
      <c r="B43" s="91" t="s">
        <v>4</v>
      </c>
      <c r="C43" s="44"/>
      <c r="D43" s="44"/>
      <c r="E43" s="28"/>
      <c r="F43" s="28"/>
      <c r="G43" s="28"/>
      <c r="H43" s="29"/>
      <c r="I43" s="29"/>
      <c r="J43" s="29"/>
      <c r="K43" s="29"/>
      <c r="L43" s="29"/>
      <c r="M43" s="29"/>
      <c r="N43" s="29"/>
      <c r="O43" s="42"/>
      <c r="P43" s="42"/>
      <c r="Q43" s="42"/>
      <c r="R43" s="42"/>
      <c r="S43" s="42"/>
      <c r="T43" s="42"/>
      <c r="U43" s="42"/>
      <c r="V43" s="42"/>
      <c r="W43" s="42"/>
      <c r="X43" s="75"/>
      <c r="Y43" s="54"/>
      <c r="Z43" s="53"/>
      <c r="AA43" s="53"/>
      <c r="AB43" s="53"/>
      <c r="AC43" s="53"/>
      <c r="AD43" s="53"/>
      <c r="AE43" s="53"/>
    </row>
    <row r="44" spans="1:30" s="1" customFormat="1" ht="14.25" customHeight="1">
      <c r="A44" s="127" t="s">
        <v>63</v>
      </c>
      <c r="B44" s="23" t="s">
        <v>148</v>
      </c>
      <c r="C44" s="44" t="s">
        <v>149</v>
      </c>
      <c r="D44" s="44" t="s">
        <v>168</v>
      </c>
      <c r="E44" s="28">
        <v>6.68</v>
      </c>
      <c r="F44" s="28"/>
      <c r="G44" s="28">
        <v>2.93</v>
      </c>
      <c r="H44" s="29">
        <v>0</v>
      </c>
      <c r="I44" s="28">
        <v>6.05</v>
      </c>
      <c r="J44" s="29">
        <v>0</v>
      </c>
      <c r="K44" s="28">
        <v>10.4</v>
      </c>
      <c r="L44" s="29">
        <v>0</v>
      </c>
      <c r="M44" s="28">
        <v>107.77</v>
      </c>
      <c r="N44" s="29">
        <v>0</v>
      </c>
      <c r="O44" s="29">
        <v>0.08</v>
      </c>
      <c r="P44" s="29">
        <f>O44*40/60</f>
        <v>0.05333333333333334</v>
      </c>
      <c r="Q44" s="29">
        <v>0.06</v>
      </c>
      <c r="R44" s="29">
        <f>Q44*40/60</f>
        <v>0.04</v>
      </c>
      <c r="S44" s="28">
        <v>0.14</v>
      </c>
      <c r="T44" s="29">
        <v>0</v>
      </c>
      <c r="U44" s="29">
        <v>70.8</v>
      </c>
      <c r="V44" s="29">
        <f>U44*40/60</f>
        <v>47.2</v>
      </c>
      <c r="W44" s="29">
        <v>0.81</v>
      </c>
      <c r="X44" s="74">
        <f>W44*40/60</f>
        <v>0.5400000000000001</v>
      </c>
      <c r="Y44" s="59"/>
      <c r="Z44" s="57"/>
      <c r="AA44" s="57"/>
      <c r="AB44" s="57"/>
      <c r="AC44" s="57"/>
      <c r="AD44" s="57"/>
    </row>
    <row r="45" spans="1:30" s="1" customFormat="1" ht="14.25" customHeight="1">
      <c r="A45" s="127" t="s">
        <v>63</v>
      </c>
      <c r="B45" s="23" t="s">
        <v>113</v>
      </c>
      <c r="C45" s="44" t="s">
        <v>168</v>
      </c>
      <c r="D45" s="44" t="s">
        <v>82</v>
      </c>
      <c r="E45" s="28"/>
      <c r="F45" s="28">
        <v>4.15</v>
      </c>
      <c r="G45" s="28">
        <v>0</v>
      </c>
      <c r="H45" s="29">
        <v>2.9</v>
      </c>
      <c r="I45" s="28">
        <v>0</v>
      </c>
      <c r="J45" s="29">
        <v>1.95</v>
      </c>
      <c r="K45" s="28">
        <v>0</v>
      </c>
      <c r="L45" s="29">
        <v>10.4</v>
      </c>
      <c r="M45" s="28">
        <v>0</v>
      </c>
      <c r="N45" s="29">
        <v>70.75</v>
      </c>
      <c r="O45" s="86">
        <v>0.08</v>
      </c>
      <c r="P45" s="86">
        <f>O45*40/60</f>
        <v>0.05333333333333334</v>
      </c>
      <c r="Q45" s="86">
        <v>0.06</v>
      </c>
      <c r="R45" s="86">
        <f>Q45*40/60</f>
        <v>0.04</v>
      </c>
      <c r="S45" s="28">
        <v>0</v>
      </c>
      <c r="T45" s="29">
        <v>0.14</v>
      </c>
      <c r="U45" s="29">
        <v>70.8</v>
      </c>
      <c r="V45" s="29">
        <f>U45*40/60</f>
        <v>47.2</v>
      </c>
      <c r="W45" s="29">
        <v>0.81</v>
      </c>
      <c r="X45" s="74">
        <f>W45*40/60</f>
        <v>0.5400000000000001</v>
      </c>
      <c r="Y45" s="59"/>
      <c r="Z45" s="57"/>
      <c r="AA45" s="57"/>
      <c r="AB45" s="57"/>
      <c r="AC45" s="57"/>
      <c r="AD45" s="57"/>
    </row>
    <row r="46" spans="1:33" ht="13.5" customHeight="1">
      <c r="A46" s="127" t="s">
        <v>78</v>
      </c>
      <c r="B46" s="23" t="s">
        <v>90</v>
      </c>
      <c r="C46" s="44" t="s">
        <v>5</v>
      </c>
      <c r="D46" s="44" t="s">
        <v>6</v>
      </c>
      <c r="E46" s="61">
        <v>6.97</v>
      </c>
      <c r="F46" s="61">
        <v>5.23</v>
      </c>
      <c r="G46" s="28">
        <v>5.76</v>
      </c>
      <c r="H46" s="28">
        <v>4.32</v>
      </c>
      <c r="I46" s="28">
        <v>6.64</v>
      </c>
      <c r="J46" s="28">
        <v>4.98</v>
      </c>
      <c r="K46" s="28">
        <v>19.28</v>
      </c>
      <c r="L46" s="28">
        <f>K46*150/200</f>
        <v>14.46</v>
      </c>
      <c r="M46" s="28">
        <v>160</v>
      </c>
      <c r="N46" s="28">
        <v>120</v>
      </c>
      <c r="O46" s="29">
        <v>0.09</v>
      </c>
      <c r="P46" s="28">
        <f>O46*150/200</f>
        <v>0.0675</v>
      </c>
      <c r="Q46" s="29">
        <v>0.14</v>
      </c>
      <c r="R46" s="28">
        <f>Q46*150/200</f>
        <v>0.10500000000000002</v>
      </c>
      <c r="S46" s="29">
        <v>0.9</v>
      </c>
      <c r="T46" s="28">
        <v>0.67</v>
      </c>
      <c r="U46" s="29">
        <v>129.32</v>
      </c>
      <c r="V46" s="28">
        <f>U46*150/200</f>
        <v>96.99</v>
      </c>
      <c r="W46" s="29">
        <v>0.42</v>
      </c>
      <c r="X46" s="123">
        <f>W46*150/200</f>
        <v>0.315</v>
      </c>
      <c r="Y46" s="54"/>
      <c r="Z46" s="53"/>
      <c r="AA46" s="53"/>
      <c r="AB46" s="53"/>
      <c r="AC46" s="53"/>
      <c r="AD46" s="53"/>
      <c r="AE46" s="53"/>
      <c r="AF46" s="53"/>
      <c r="AG46" s="53"/>
    </row>
    <row r="47" spans="1:31" ht="15" customHeight="1">
      <c r="A47" s="127" t="s">
        <v>30</v>
      </c>
      <c r="B47" s="23" t="s">
        <v>31</v>
      </c>
      <c r="C47" s="44" t="s">
        <v>29</v>
      </c>
      <c r="D47" s="44" t="s">
        <v>6</v>
      </c>
      <c r="E47" s="28">
        <v>6.02</v>
      </c>
      <c r="F47" s="28">
        <v>5.02</v>
      </c>
      <c r="G47" s="41">
        <v>2.95</v>
      </c>
      <c r="H47" s="41">
        <v>2.46</v>
      </c>
      <c r="I47" s="41">
        <v>3.24</v>
      </c>
      <c r="J47" s="41">
        <v>2.7</v>
      </c>
      <c r="K47" s="41">
        <v>22.82</v>
      </c>
      <c r="L47" s="41">
        <v>19.02</v>
      </c>
      <c r="M47" s="41">
        <v>132.26</v>
      </c>
      <c r="N47" s="29">
        <v>110.22</v>
      </c>
      <c r="O47" s="41">
        <f>P47*180/150</f>
        <v>0.024</v>
      </c>
      <c r="P47" s="45">
        <v>0.02</v>
      </c>
      <c r="Q47" s="41">
        <f>R47*180/150</f>
        <v>0.12</v>
      </c>
      <c r="R47" s="45">
        <v>0.1</v>
      </c>
      <c r="S47" s="41">
        <v>1.43</v>
      </c>
      <c r="T47" s="45">
        <v>1.2</v>
      </c>
      <c r="U47" s="41">
        <f>V47*180/150</f>
        <v>109.58399999999999</v>
      </c>
      <c r="V47" s="45">
        <v>91.32</v>
      </c>
      <c r="W47" s="41">
        <f>X47*180/150</f>
        <v>0.36</v>
      </c>
      <c r="X47" s="45">
        <v>0.3</v>
      </c>
      <c r="Y47" s="53"/>
      <c r="Z47" s="53"/>
      <c r="AA47" s="53"/>
      <c r="AB47" s="53"/>
      <c r="AC47" s="53"/>
      <c r="AD47" s="53"/>
      <c r="AE47" s="53"/>
    </row>
    <row r="48" spans="1:31" ht="15" customHeight="1">
      <c r="A48" s="22"/>
      <c r="B48" s="23" t="s">
        <v>7</v>
      </c>
      <c r="C48" s="44"/>
      <c r="D48" s="44"/>
      <c r="E48" s="17">
        <f>SUM(E44:E47)</f>
        <v>19.669999999999998</v>
      </c>
      <c r="F48" s="17">
        <f>SUM(F44:F47)</f>
        <v>14.4</v>
      </c>
      <c r="G48" s="17">
        <f aca="true" t="shared" si="6" ref="G48:T48">SUM(G44:G47)</f>
        <v>11.64</v>
      </c>
      <c r="H48" s="17">
        <f t="shared" si="6"/>
        <v>9.68</v>
      </c>
      <c r="I48" s="17">
        <f t="shared" si="6"/>
        <v>15.93</v>
      </c>
      <c r="J48" s="17">
        <f t="shared" si="6"/>
        <v>9.63</v>
      </c>
      <c r="K48" s="17">
        <f t="shared" si="6"/>
        <v>52.5</v>
      </c>
      <c r="L48" s="17">
        <f t="shared" si="6"/>
        <v>43.879999999999995</v>
      </c>
      <c r="M48" s="17">
        <f t="shared" si="6"/>
        <v>400.03</v>
      </c>
      <c r="N48" s="17">
        <f t="shared" si="6"/>
        <v>300.97</v>
      </c>
      <c r="O48" s="17">
        <f t="shared" si="6"/>
        <v>0.274</v>
      </c>
      <c r="P48" s="17">
        <f t="shared" si="6"/>
        <v>0.19416666666666668</v>
      </c>
      <c r="Q48" s="17">
        <f t="shared" si="6"/>
        <v>0.38</v>
      </c>
      <c r="R48" s="17">
        <f t="shared" si="6"/>
        <v>0.28500000000000003</v>
      </c>
      <c r="S48" s="17">
        <f t="shared" si="6"/>
        <v>2.4699999999999998</v>
      </c>
      <c r="T48" s="17">
        <f t="shared" si="6"/>
        <v>2.01</v>
      </c>
      <c r="U48" s="17">
        <f>SUM(U44:U47)</f>
        <v>380.50399999999996</v>
      </c>
      <c r="V48" s="17">
        <f>SUM(V44:V47)</f>
        <v>282.71</v>
      </c>
      <c r="W48" s="17">
        <f>SUM(W44:W47)</f>
        <v>2.4</v>
      </c>
      <c r="X48" s="17">
        <f>SUM(X44:X47)</f>
        <v>1.6950000000000003</v>
      </c>
      <c r="Y48" s="72">
        <f>SUM(Y44:Y47)</f>
        <v>0</v>
      </c>
      <c r="Z48" s="58"/>
      <c r="AA48" s="58"/>
      <c r="AB48" s="58"/>
      <c r="AC48" s="58"/>
      <c r="AD48" s="53"/>
      <c r="AE48" s="53"/>
    </row>
    <row r="49" spans="1:31" ht="15" customHeight="1">
      <c r="A49" s="22"/>
      <c r="B49" s="91" t="s">
        <v>16</v>
      </c>
      <c r="C49" s="44"/>
      <c r="D49" s="44"/>
      <c r="E49" s="28"/>
      <c r="F49" s="28"/>
      <c r="G49" s="28"/>
      <c r="H49" s="29"/>
      <c r="I49" s="29"/>
      <c r="J49" s="29"/>
      <c r="K49" s="29"/>
      <c r="L49" s="29"/>
      <c r="M49" s="29"/>
      <c r="N49" s="29"/>
      <c r="O49" s="42"/>
      <c r="P49" s="42"/>
      <c r="Q49" s="42"/>
      <c r="R49" s="42"/>
      <c r="S49" s="42"/>
      <c r="T49" s="42"/>
      <c r="U49" s="42"/>
      <c r="V49" s="42"/>
      <c r="W49" s="42"/>
      <c r="X49" s="75"/>
      <c r="Y49" s="54"/>
      <c r="Z49" s="53"/>
      <c r="AA49" s="53"/>
      <c r="AB49" s="53"/>
      <c r="AC49" s="53"/>
      <c r="AD49" s="53"/>
      <c r="AE49" s="53"/>
    </row>
    <row r="50" spans="1:31" s="1" customFormat="1" ht="15" customHeight="1">
      <c r="A50" s="128" t="s">
        <v>50</v>
      </c>
      <c r="B50" s="64" t="s">
        <v>57</v>
      </c>
      <c r="C50" s="65" t="s">
        <v>5</v>
      </c>
      <c r="D50" s="65" t="s">
        <v>105</v>
      </c>
      <c r="E50" s="61">
        <v>5.64</v>
      </c>
      <c r="F50" s="61">
        <v>4.52</v>
      </c>
      <c r="G50" s="66">
        <v>0</v>
      </c>
      <c r="H50" s="68">
        <v>0</v>
      </c>
      <c r="I50" s="66">
        <f>J50*180/150</f>
        <v>0</v>
      </c>
      <c r="J50" s="68">
        <v>0</v>
      </c>
      <c r="K50" s="66">
        <f>L50*200/160</f>
        <v>12</v>
      </c>
      <c r="L50" s="68">
        <v>9.6</v>
      </c>
      <c r="M50" s="66">
        <f>N50*200/160</f>
        <v>48</v>
      </c>
      <c r="N50" s="68">
        <v>38.4</v>
      </c>
      <c r="O50" s="66">
        <f>P50*180/150</f>
        <v>0</v>
      </c>
      <c r="P50" s="68">
        <v>0</v>
      </c>
      <c r="Q50" s="66">
        <f>R50*180/150</f>
        <v>0.024</v>
      </c>
      <c r="R50" s="68">
        <v>0.02</v>
      </c>
      <c r="S50" s="66">
        <f>T50*200/160</f>
        <v>4</v>
      </c>
      <c r="T50" s="68">
        <v>3.2</v>
      </c>
      <c r="U50" s="66">
        <f>V50*180/150</f>
        <v>9.996</v>
      </c>
      <c r="V50" s="68">
        <v>8.33</v>
      </c>
      <c r="W50" s="66">
        <f>X50*180/150</f>
        <v>0.252</v>
      </c>
      <c r="X50" s="104">
        <v>0.21</v>
      </c>
      <c r="Y50" s="57"/>
      <c r="Z50" s="57"/>
      <c r="AA50" s="57"/>
      <c r="AB50" s="57"/>
      <c r="AC50" s="57"/>
      <c r="AD50" s="57"/>
      <c r="AE50" s="57"/>
    </row>
    <row r="51" spans="1:31" ht="15" customHeight="1">
      <c r="A51" s="22"/>
      <c r="B51" s="23" t="s">
        <v>7</v>
      </c>
      <c r="C51" s="44"/>
      <c r="D51" s="44"/>
      <c r="E51" s="17">
        <f>SUM(E50)</f>
        <v>5.64</v>
      </c>
      <c r="F51" s="17">
        <f>SUM(F50)</f>
        <v>4.52</v>
      </c>
      <c r="G51" s="17">
        <f aca="true" t="shared" si="7" ref="G51:T51">SUM(G50)</f>
        <v>0</v>
      </c>
      <c r="H51" s="17">
        <f t="shared" si="7"/>
        <v>0</v>
      </c>
      <c r="I51" s="17">
        <f t="shared" si="7"/>
        <v>0</v>
      </c>
      <c r="J51" s="17">
        <f t="shared" si="7"/>
        <v>0</v>
      </c>
      <c r="K51" s="17">
        <f t="shared" si="7"/>
        <v>12</v>
      </c>
      <c r="L51" s="17">
        <f t="shared" si="7"/>
        <v>9.6</v>
      </c>
      <c r="M51" s="17">
        <f t="shared" si="7"/>
        <v>48</v>
      </c>
      <c r="N51" s="17">
        <f t="shared" si="7"/>
        <v>38.4</v>
      </c>
      <c r="O51" s="17">
        <f t="shared" si="7"/>
        <v>0</v>
      </c>
      <c r="P51" s="17">
        <f t="shared" si="7"/>
        <v>0</v>
      </c>
      <c r="Q51" s="17">
        <f t="shared" si="7"/>
        <v>0.024</v>
      </c>
      <c r="R51" s="17">
        <f t="shared" si="7"/>
        <v>0.02</v>
      </c>
      <c r="S51" s="17">
        <f t="shared" si="7"/>
        <v>4</v>
      </c>
      <c r="T51" s="17">
        <f t="shared" si="7"/>
        <v>3.2</v>
      </c>
      <c r="U51" s="17">
        <f>SUM(U50)</f>
        <v>9.996</v>
      </c>
      <c r="V51" s="17">
        <f>SUM(V50)</f>
        <v>8.33</v>
      </c>
      <c r="W51" s="17">
        <f>SUM(W50)</f>
        <v>0.252</v>
      </c>
      <c r="X51" s="17">
        <f>SUM(X50)</f>
        <v>0.21</v>
      </c>
      <c r="Y51" s="72">
        <f>SUM(Y50)</f>
        <v>0</v>
      </c>
      <c r="Z51" s="58"/>
      <c r="AA51" s="58"/>
      <c r="AB51" s="58"/>
      <c r="AC51" s="58"/>
      <c r="AD51" s="53"/>
      <c r="AE51" s="53"/>
    </row>
    <row r="52" spans="1:31" ht="15" customHeight="1">
      <c r="A52" s="22"/>
      <c r="B52" s="91" t="s">
        <v>9</v>
      </c>
      <c r="C52" s="44"/>
      <c r="D52" s="44"/>
      <c r="E52" s="28"/>
      <c r="F52" s="28"/>
      <c r="G52" s="28"/>
      <c r="H52" s="29"/>
      <c r="I52" s="29"/>
      <c r="J52" s="29"/>
      <c r="K52" s="29"/>
      <c r="L52" s="29"/>
      <c r="M52" s="29"/>
      <c r="N52" s="29"/>
      <c r="O52" s="42"/>
      <c r="P52" s="42"/>
      <c r="Q52" s="42"/>
      <c r="R52" s="42"/>
      <c r="S52" s="42"/>
      <c r="T52" s="42"/>
      <c r="U52" s="42"/>
      <c r="V52" s="42"/>
      <c r="W52" s="42"/>
      <c r="X52" s="75"/>
      <c r="Y52" s="54"/>
      <c r="Z52" s="53"/>
      <c r="AA52" s="53"/>
      <c r="AB52" s="53"/>
      <c r="AC52" s="53"/>
      <c r="AD52" s="53"/>
      <c r="AE52" s="53"/>
    </row>
    <row r="53" spans="1:29" ht="15.75" customHeight="1">
      <c r="A53" s="143" t="s">
        <v>142</v>
      </c>
      <c r="B53" s="23" t="s">
        <v>143</v>
      </c>
      <c r="C53" s="44" t="s">
        <v>28</v>
      </c>
      <c r="D53" s="44" t="s">
        <v>107</v>
      </c>
      <c r="E53" s="28">
        <v>1.35</v>
      </c>
      <c r="F53" s="28">
        <v>1.01</v>
      </c>
      <c r="G53" s="29">
        <v>0.84</v>
      </c>
      <c r="H53" s="29">
        <f>G53*45/60</f>
        <v>0.63</v>
      </c>
      <c r="I53" s="29">
        <v>3.1</v>
      </c>
      <c r="J53" s="29">
        <f>I53*45/60</f>
        <v>2.325</v>
      </c>
      <c r="K53" s="29">
        <v>5.34</v>
      </c>
      <c r="L53" s="29">
        <f>K53*45/60</f>
        <v>4.005</v>
      </c>
      <c r="M53" s="29">
        <v>52.62</v>
      </c>
      <c r="N53" s="29">
        <f>M53*45/60</f>
        <v>39.465</v>
      </c>
      <c r="O53" s="41">
        <v>0.02</v>
      </c>
      <c r="P53" s="29">
        <f>O53*30/40</f>
        <v>0.015</v>
      </c>
      <c r="Q53" s="41">
        <v>0.02</v>
      </c>
      <c r="R53" s="29">
        <f>Q53*30/40</f>
        <v>0.015</v>
      </c>
      <c r="S53" s="29">
        <v>21</v>
      </c>
      <c r="T53" s="29">
        <f>S53*45/60</f>
        <v>15.75</v>
      </c>
      <c r="U53" s="29">
        <f>V53*35/30</f>
        <v>5.121666666666666</v>
      </c>
      <c r="V53" s="29">
        <v>4.39</v>
      </c>
      <c r="W53" s="29">
        <f>X53*35/30</f>
        <v>0.35</v>
      </c>
      <c r="X53" s="29">
        <v>0.3</v>
      </c>
      <c r="Z53" s="53"/>
      <c r="AA53" s="53"/>
      <c r="AB53" s="53"/>
      <c r="AC53" s="53"/>
    </row>
    <row r="54" spans="1:24" s="7" customFormat="1" ht="27" customHeight="1">
      <c r="A54" s="138" t="s">
        <v>120</v>
      </c>
      <c r="B54" s="67" t="s">
        <v>121</v>
      </c>
      <c r="C54" s="65" t="s">
        <v>64</v>
      </c>
      <c r="D54" s="65" t="s">
        <v>65</v>
      </c>
      <c r="E54" s="142">
        <v>13.69</v>
      </c>
      <c r="F54" s="61">
        <v>12.82</v>
      </c>
      <c r="G54" s="66">
        <v>6.72</v>
      </c>
      <c r="H54" s="66">
        <v>4.61</v>
      </c>
      <c r="I54" s="66">
        <v>8.51</v>
      </c>
      <c r="J54" s="66">
        <v>4.77</v>
      </c>
      <c r="K54" s="66">
        <v>20.31</v>
      </c>
      <c r="L54" s="66">
        <v>17.89</v>
      </c>
      <c r="M54" s="66">
        <v>140.12</v>
      </c>
      <c r="N54" s="66">
        <v>115.5</v>
      </c>
      <c r="O54" s="71">
        <v>0.14</v>
      </c>
      <c r="P54" s="80">
        <v>0.11</v>
      </c>
      <c r="Q54" s="71">
        <v>0.11</v>
      </c>
      <c r="R54" s="80">
        <v>0.11</v>
      </c>
      <c r="S54" s="71">
        <v>10.78</v>
      </c>
      <c r="T54" s="80">
        <v>10.78</v>
      </c>
      <c r="U54" s="71">
        <v>18.09</v>
      </c>
      <c r="V54" s="80">
        <v>18.09</v>
      </c>
      <c r="W54" s="71">
        <v>1.07</v>
      </c>
      <c r="X54" s="80">
        <v>1.07</v>
      </c>
    </row>
    <row r="55" spans="1:31" s="77" customFormat="1" ht="24" customHeight="1">
      <c r="A55" s="128" t="s">
        <v>144</v>
      </c>
      <c r="B55" s="67" t="s">
        <v>145</v>
      </c>
      <c r="C55" s="65" t="s">
        <v>10</v>
      </c>
      <c r="D55" s="65" t="s">
        <v>10</v>
      </c>
      <c r="E55" s="61">
        <v>23.17</v>
      </c>
      <c r="F55" s="61">
        <v>23.17</v>
      </c>
      <c r="G55" s="61">
        <v>8.25</v>
      </c>
      <c r="H55" s="61">
        <v>8.25</v>
      </c>
      <c r="I55" s="61">
        <v>13.5</v>
      </c>
      <c r="J55" s="61">
        <v>13.5</v>
      </c>
      <c r="K55" s="62">
        <v>6</v>
      </c>
      <c r="L55" s="61">
        <v>6</v>
      </c>
      <c r="M55" s="62">
        <v>178</v>
      </c>
      <c r="N55" s="61">
        <v>178</v>
      </c>
      <c r="O55" s="147">
        <v>0.05</v>
      </c>
      <c r="P55" s="147">
        <v>0.05</v>
      </c>
      <c r="Q55" s="148">
        <v>0.08</v>
      </c>
      <c r="R55" s="148">
        <v>0.08</v>
      </c>
      <c r="S55" s="62">
        <v>0</v>
      </c>
      <c r="T55" s="62">
        <v>0</v>
      </c>
      <c r="U55" s="116">
        <v>77.36</v>
      </c>
      <c r="V55" s="116">
        <v>77.36</v>
      </c>
      <c r="W55" s="116">
        <v>1.17</v>
      </c>
      <c r="X55" s="117">
        <v>1.17</v>
      </c>
      <c r="AA55" s="83"/>
      <c r="AB55" s="83"/>
      <c r="AC55" s="83"/>
      <c r="AD55" s="83"/>
      <c r="AE55" s="83"/>
    </row>
    <row r="56" spans="1:29" s="8" customFormat="1" ht="15" customHeight="1">
      <c r="A56" s="128" t="s">
        <v>96</v>
      </c>
      <c r="B56" s="64" t="s">
        <v>97</v>
      </c>
      <c r="C56" s="65" t="s">
        <v>75</v>
      </c>
      <c r="D56" s="65" t="s">
        <v>89</v>
      </c>
      <c r="E56" s="62">
        <v>3.4</v>
      </c>
      <c r="F56" s="62">
        <v>2.62</v>
      </c>
      <c r="G56" s="62">
        <v>27.52</v>
      </c>
      <c r="H56" s="62">
        <f>G56*100/130</f>
        <v>21.16923076923077</v>
      </c>
      <c r="I56" s="62">
        <v>9.02</v>
      </c>
      <c r="J56" s="62">
        <f>I56*100/130</f>
        <v>6.938461538461539</v>
      </c>
      <c r="K56" s="62">
        <v>60.74</v>
      </c>
      <c r="L56" s="62">
        <f>K56*100/130</f>
        <v>46.723076923076924</v>
      </c>
      <c r="M56" s="126">
        <v>434.23</v>
      </c>
      <c r="N56" s="62">
        <f>M56*100/130</f>
        <v>334.0230769230769</v>
      </c>
      <c r="O56" s="126">
        <v>0.57</v>
      </c>
      <c r="P56" s="62">
        <f>O56*100/130</f>
        <v>0.4384615384615384</v>
      </c>
      <c r="Q56" s="126">
        <v>0.12</v>
      </c>
      <c r="R56" s="62">
        <f>Q56*100/130</f>
        <v>0.09230769230769231</v>
      </c>
      <c r="S56" s="126">
        <v>0</v>
      </c>
      <c r="T56" s="62">
        <f>S56*100/130</f>
        <v>0</v>
      </c>
      <c r="U56" s="126">
        <v>57.69</v>
      </c>
      <c r="V56" s="62">
        <f>U56*100/130</f>
        <v>44.37692307692308</v>
      </c>
      <c r="W56" s="41">
        <v>4.47</v>
      </c>
      <c r="X56" s="70">
        <f>W56*100/130</f>
        <v>3.4384615384615387</v>
      </c>
      <c r="Y56" s="113"/>
      <c r="Z56" s="107"/>
      <c r="AA56" s="107"/>
      <c r="AB56" s="107"/>
      <c r="AC56" s="107"/>
    </row>
    <row r="57" spans="1:29" ht="15.75" customHeight="1">
      <c r="A57" s="128" t="s">
        <v>166</v>
      </c>
      <c r="B57" s="64" t="s">
        <v>167</v>
      </c>
      <c r="C57" s="65" t="s">
        <v>5</v>
      </c>
      <c r="D57" s="65" t="s">
        <v>6</v>
      </c>
      <c r="E57" s="61">
        <v>4.44</v>
      </c>
      <c r="F57" s="61">
        <v>3.33</v>
      </c>
      <c r="G57" s="66">
        <v>0.4</v>
      </c>
      <c r="H57" s="68">
        <v>0.3</v>
      </c>
      <c r="I57" s="66">
        <f>J57*200/150</f>
        <v>0</v>
      </c>
      <c r="J57" s="68">
        <v>0</v>
      </c>
      <c r="K57" s="66">
        <v>23.6</v>
      </c>
      <c r="L57" s="68">
        <v>17.7</v>
      </c>
      <c r="M57" s="66">
        <v>94</v>
      </c>
      <c r="N57" s="68">
        <v>70.5</v>
      </c>
      <c r="O57" s="62">
        <v>0.02</v>
      </c>
      <c r="P57" s="62">
        <f>O57*150/200</f>
        <v>0.015</v>
      </c>
      <c r="Q57" s="62">
        <v>0.01</v>
      </c>
      <c r="R57" s="62">
        <f>Q57*150/200</f>
        <v>0.0075</v>
      </c>
      <c r="S57" s="62">
        <v>100</v>
      </c>
      <c r="T57" s="62">
        <v>75</v>
      </c>
      <c r="U57" s="69">
        <v>25.91</v>
      </c>
      <c r="V57" s="62">
        <f>U57*150/200</f>
        <v>19.4325</v>
      </c>
      <c r="W57" s="69">
        <v>0.65</v>
      </c>
      <c r="X57" s="82">
        <f>W57*150/200</f>
        <v>0.4875</v>
      </c>
      <c r="Y57" s="53"/>
      <c r="Z57" s="53"/>
      <c r="AA57" s="53"/>
      <c r="AB57" s="53"/>
      <c r="AC57" s="53"/>
    </row>
    <row r="58" spans="1:31" s="16" customFormat="1" ht="15" customHeight="1">
      <c r="A58" s="127"/>
      <c r="B58" s="23" t="s">
        <v>11</v>
      </c>
      <c r="C58" s="44" t="s">
        <v>14</v>
      </c>
      <c r="D58" s="44" t="s">
        <v>14</v>
      </c>
      <c r="E58" s="28">
        <v>1.11</v>
      </c>
      <c r="F58" s="28">
        <v>1.11</v>
      </c>
      <c r="G58" s="28">
        <v>1.6</v>
      </c>
      <c r="H58" s="28">
        <v>1.6</v>
      </c>
      <c r="I58" s="28">
        <v>0.4</v>
      </c>
      <c r="J58" s="28">
        <v>0.4</v>
      </c>
      <c r="K58" s="28">
        <v>10</v>
      </c>
      <c r="L58" s="28">
        <v>10</v>
      </c>
      <c r="M58" s="29">
        <v>54</v>
      </c>
      <c r="N58" s="29">
        <v>54</v>
      </c>
      <c r="O58" s="43">
        <v>0.04</v>
      </c>
      <c r="P58" s="47">
        <v>0.04</v>
      </c>
      <c r="Q58" s="43">
        <v>0.02</v>
      </c>
      <c r="R58" s="47">
        <v>0.02</v>
      </c>
      <c r="S58" s="43">
        <v>0</v>
      </c>
      <c r="T58" s="47">
        <v>0</v>
      </c>
      <c r="U58" s="43">
        <v>7.4</v>
      </c>
      <c r="V58" s="47">
        <v>7.4</v>
      </c>
      <c r="W58" s="43">
        <v>0.56</v>
      </c>
      <c r="X58" s="47">
        <v>0.56</v>
      </c>
      <c r="Y58" s="56"/>
      <c r="Z58" s="56"/>
      <c r="AA58" s="56"/>
      <c r="AB58" s="56"/>
      <c r="AC58" s="56"/>
      <c r="AD58" s="56"/>
      <c r="AE58" s="56"/>
    </row>
    <row r="59" spans="1:31" ht="15" customHeight="1">
      <c r="A59" s="127"/>
      <c r="B59" s="23" t="s">
        <v>46</v>
      </c>
      <c r="C59" s="44" t="s">
        <v>76</v>
      </c>
      <c r="D59" s="44" t="s">
        <v>77</v>
      </c>
      <c r="E59" s="28">
        <v>2.09</v>
      </c>
      <c r="F59" s="28">
        <v>1.83</v>
      </c>
      <c r="G59" s="28">
        <v>3.25</v>
      </c>
      <c r="H59" s="29">
        <v>2.84</v>
      </c>
      <c r="I59" s="29">
        <v>0.46</v>
      </c>
      <c r="J59" s="29">
        <f>I59*40.6/46</f>
        <v>0.406</v>
      </c>
      <c r="K59" s="29">
        <v>20.88</v>
      </c>
      <c r="L59" s="29">
        <v>18.27</v>
      </c>
      <c r="M59" s="29">
        <v>102.08</v>
      </c>
      <c r="N59" s="29">
        <v>89.32</v>
      </c>
      <c r="O59" s="41">
        <v>0.06</v>
      </c>
      <c r="P59" s="45">
        <v>0.04</v>
      </c>
      <c r="Q59" s="41">
        <v>0.04</v>
      </c>
      <c r="R59" s="45">
        <v>0.03</v>
      </c>
      <c r="S59" s="41">
        <v>0</v>
      </c>
      <c r="T59" s="29">
        <f>S59*40.6/46</f>
        <v>0</v>
      </c>
      <c r="U59" s="43">
        <v>17</v>
      </c>
      <c r="V59" s="47">
        <v>13.6</v>
      </c>
      <c r="W59" s="43">
        <v>1.15</v>
      </c>
      <c r="X59" s="47">
        <v>0.92</v>
      </c>
      <c r="Y59" s="53"/>
      <c r="Z59" s="53"/>
      <c r="AA59" s="53"/>
      <c r="AB59" s="53"/>
      <c r="AC59" s="53"/>
      <c r="AD59" s="53"/>
      <c r="AE59" s="53"/>
    </row>
    <row r="60" spans="1:31" ht="15" customHeight="1">
      <c r="A60" s="22"/>
      <c r="B60" s="23" t="s">
        <v>7</v>
      </c>
      <c r="C60" s="44"/>
      <c r="D60" s="44"/>
      <c r="E60" s="17">
        <f>SUM(E53:E59)</f>
        <v>49.25</v>
      </c>
      <c r="F60" s="17">
        <f>SUM(F53:F59)</f>
        <v>45.88999999999999</v>
      </c>
      <c r="G60" s="17">
        <f>SUM(G53:G59)-5</f>
        <v>43.58</v>
      </c>
      <c r="H60" s="17">
        <f>SUM(H53:H59)-5</f>
        <v>34.39923076923077</v>
      </c>
      <c r="I60" s="17">
        <f aca="true" t="shared" si="8" ref="I60:R60">SUM(I53:I59)</f>
        <v>34.989999999999995</v>
      </c>
      <c r="J60" s="17">
        <f t="shared" si="8"/>
        <v>28.339461538461535</v>
      </c>
      <c r="K60" s="17">
        <f t="shared" si="8"/>
        <v>146.87</v>
      </c>
      <c r="L60" s="17">
        <f t="shared" si="8"/>
        <v>120.58807692307693</v>
      </c>
      <c r="M60" s="17">
        <f>SUM(M53:M59)-0</f>
        <v>1055.05</v>
      </c>
      <c r="N60" s="17">
        <f>SUM(N53:N59)-29</f>
        <v>851.8080769230769</v>
      </c>
      <c r="O60" s="17">
        <f t="shared" si="8"/>
        <v>0.9000000000000001</v>
      </c>
      <c r="P60" s="17">
        <f t="shared" si="8"/>
        <v>0.7084615384615385</v>
      </c>
      <c r="Q60" s="17">
        <f t="shared" si="8"/>
        <v>0.4</v>
      </c>
      <c r="R60" s="17">
        <f t="shared" si="8"/>
        <v>0.3548076923076924</v>
      </c>
      <c r="S60" s="17">
        <f>SUM(S53:S59)-20</f>
        <v>111.78</v>
      </c>
      <c r="T60" s="17">
        <f>SUM(T53:T59)-20</f>
        <v>81.53</v>
      </c>
      <c r="U60" s="17">
        <f aca="true" t="shared" si="9" ref="U60:AB60">SUM(U53:U59)</f>
        <v>208.57166666666666</v>
      </c>
      <c r="V60" s="17">
        <f t="shared" si="9"/>
        <v>184.64942307692309</v>
      </c>
      <c r="W60" s="17">
        <f t="shared" si="9"/>
        <v>9.42</v>
      </c>
      <c r="X60" s="17">
        <f t="shared" si="9"/>
        <v>7.945961538461539</v>
      </c>
      <c r="Y60" s="17">
        <f t="shared" si="9"/>
        <v>0</v>
      </c>
      <c r="Z60" s="17">
        <f t="shared" si="9"/>
        <v>0</v>
      </c>
      <c r="AA60" s="17">
        <f t="shared" si="9"/>
        <v>0</v>
      </c>
      <c r="AB60" s="17">
        <f t="shared" si="9"/>
        <v>0</v>
      </c>
      <c r="AC60" s="58"/>
      <c r="AD60" s="53"/>
      <c r="AE60" s="53"/>
    </row>
    <row r="61" spans="1:31" ht="15" customHeight="1">
      <c r="A61" s="22"/>
      <c r="B61" s="91" t="s">
        <v>17</v>
      </c>
      <c r="C61" s="44"/>
      <c r="D61" s="44"/>
      <c r="E61" s="28"/>
      <c r="F61" s="28"/>
      <c r="G61" s="28"/>
      <c r="H61" s="29"/>
      <c r="I61" s="29"/>
      <c r="J61" s="29"/>
      <c r="K61" s="29"/>
      <c r="L61" s="29"/>
      <c r="M61" s="29"/>
      <c r="N61" s="29"/>
      <c r="O61" s="42"/>
      <c r="P61" s="42"/>
      <c r="Q61" s="42"/>
      <c r="R61" s="42"/>
      <c r="S61" s="42"/>
      <c r="T61" s="42"/>
      <c r="U61" s="42"/>
      <c r="V61" s="42"/>
      <c r="W61" s="42"/>
      <c r="X61" s="75"/>
      <c r="Y61" s="54"/>
      <c r="Z61" s="53"/>
      <c r="AA61" s="53"/>
      <c r="AB61" s="53"/>
      <c r="AC61" s="53"/>
      <c r="AD61" s="53"/>
      <c r="AE61" s="53"/>
    </row>
    <row r="62" spans="1:31" ht="15" customHeight="1">
      <c r="A62" s="127" t="s">
        <v>21</v>
      </c>
      <c r="B62" s="23" t="s">
        <v>18</v>
      </c>
      <c r="C62" s="44" t="s">
        <v>29</v>
      </c>
      <c r="D62" s="44" t="s">
        <v>29</v>
      </c>
      <c r="E62" s="28">
        <v>10.36</v>
      </c>
      <c r="F62" s="28">
        <v>10.36</v>
      </c>
      <c r="G62" s="28">
        <v>5.31</v>
      </c>
      <c r="H62" s="29">
        <v>5.31</v>
      </c>
      <c r="I62" s="28">
        <v>4.5</v>
      </c>
      <c r="J62" s="29">
        <v>4.5</v>
      </c>
      <c r="K62" s="28">
        <v>8.91</v>
      </c>
      <c r="L62" s="29">
        <v>8.91</v>
      </c>
      <c r="M62" s="28">
        <v>97.38</v>
      </c>
      <c r="N62" s="29">
        <v>97.38</v>
      </c>
      <c r="O62" s="28">
        <v>0.07</v>
      </c>
      <c r="P62" s="29">
        <v>0.07</v>
      </c>
      <c r="Q62" s="28">
        <v>0.3</v>
      </c>
      <c r="R62" s="29">
        <v>0.3</v>
      </c>
      <c r="S62" s="28">
        <v>2.46</v>
      </c>
      <c r="T62" s="29">
        <v>2.46</v>
      </c>
      <c r="U62" s="28">
        <v>275.74</v>
      </c>
      <c r="V62" s="29">
        <v>275.74</v>
      </c>
      <c r="W62" s="28">
        <v>0.23</v>
      </c>
      <c r="X62" s="29">
        <v>0.23</v>
      </c>
      <c r="Y62" s="57"/>
      <c r="Z62" s="57"/>
      <c r="AA62" s="57"/>
      <c r="AB62" s="57"/>
      <c r="AC62" s="57"/>
      <c r="AD62" s="57"/>
      <c r="AE62" s="53"/>
    </row>
    <row r="63" spans="1:31" ht="15" customHeight="1">
      <c r="A63" s="22"/>
      <c r="B63" s="23" t="s">
        <v>7</v>
      </c>
      <c r="C63" s="44"/>
      <c r="D63" s="44"/>
      <c r="E63" s="17">
        <f>SUM(E62)</f>
        <v>10.36</v>
      </c>
      <c r="F63" s="17">
        <f>SUM(F62)</f>
        <v>10.36</v>
      </c>
      <c r="G63" s="17">
        <f aca="true" t="shared" si="10" ref="G63:T63">SUM(G62)</f>
        <v>5.31</v>
      </c>
      <c r="H63" s="17">
        <f t="shared" si="10"/>
        <v>5.31</v>
      </c>
      <c r="I63" s="17">
        <f t="shared" si="10"/>
        <v>4.5</v>
      </c>
      <c r="J63" s="17">
        <f t="shared" si="10"/>
        <v>4.5</v>
      </c>
      <c r="K63" s="17">
        <f t="shared" si="10"/>
        <v>8.91</v>
      </c>
      <c r="L63" s="17">
        <f t="shared" si="10"/>
        <v>8.91</v>
      </c>
      <c r="M63" s="17">
        <f t="shared" si="10"/>
        <v>97.38</v>
      </c>
      <c r="N63" s="17">
        <f t="shared" si="10"/>
        <v>97.38</v>
      </c>
      <c r="O63" s="17">
        <f t="shared" si="10"/>
        <v>0.07</v>
      </c>
      <c r="P63" s="17">
        <f t="shared" si="10"/>
        <v>0.07</v>
      </c>
      <c r="Q63" s="17">
        <f t="shared" si="10"/>
        <v>0.3</v>
      </c>
      <c r="R63" s="17">
        <f t="shared" si="10"/>
        <v>0.3</v>
      </c>
      <c r="S63" s="17">
        <f t="shared" si="10"/>
        <v>2.46</v>
      </c>
      <c r="T63" s="17">
        <f t="shared" si="10"/>
        <v>2.46</v>
      </c>
      <c r="U63" s="17">
        <f>SUM(U62)</f>
        <v>275.74</v>
      </c>
      <c r="V63" s="17">
        <f>SUM(V62)</f>
        <v>275.74</v>
      </c>
      <c r="W63" s="17">
        <f>SUM(W62)</f>
        <v>0.23</v>
      </c>
      <c r="X63" s="17">
        <f>SUM(X62)</f>
        <v>0.23</v>
      </c>
      <c r="Y63" s="72">
        <f>SUM(Y62)</f>
        <v>0</v>
      </c>
      <c r="Z63" s="58"/>
      <c r="AA63" s="58"/>
      <c r="AB63" s="58"/>
      <c r="AC63" s="58"/>
      <c r="AD63" s="53"/>
      <c r="AE63" s="53"/>
    </row>
    <row r="64" spans="1:31" ht="15" customHeight="1">
      <c r="A64" s="22"/>
      <c r="B64" s="91" t="s">
        <v>13</v>
      </c>
      <c r="C64" s="44"/>
      <c r="D64" s="44"/>
      <c r="E64" s="28"/>
      <c r="F64" s="28"/>
      <c r="G64" s="28"/>
      <c r="H64" s="29"/>
      <c r="I64" s="29"/>
      <c r="J64" s="29"/>
      <c r="K64" s="29"/>
      <c r="L64" s="29"/>
      <c r="M64" s="29"/>
      <c r="N64" s="29"/>
      <c r="O64" s="42"/>
      <c r="P64" s="42"/>
      <c r="Q64" s="42"/>
      <c r="R64" s="42"/>
      <c r="S64" s="42"/>
      <c r="T64" s="42"/>
      <c r="U64" s="42"/>
      <c r="V64" s="42"/>
      <c r="W64" s="42"/>
      <c r="X64" s="75"/>
      <c r="Y64" s="54"/>
      <c r="Z64" s="53"/>
      <c r="AA64" s="53"/>
      <c r="AB64" s="53"/>
      <c r="AC64" s="53"/>
      <c r="AD64" s="53"/>
      <c r="AE64" s="53"/>
    </row>
    <row r="65" spans="1:29" s="1" customFormat="1" ht="25.5" customHeight="1">
      <c r="A65" s="143" t="s">
        <v>146</v>
      </c>
      <c r="B65" s="23" t="s">
        <v>147</v>
      </c>
      <c r="C65" s="44" t="s">
        <v>128</v>
      </c>
      <c r="D65" s="44" t="s">
        <v>62</v>
      </c>
      <c r="E65" s="28">
        <v>52.48</v>
      </c>
      <c r="F65" s="28">
        <v>37.41</v>
      </c>
      <c r="G65" s="28">
        <v>28.6</v>
      </c>
      <c r="H65" s="29">
        <v>19.64</v>
      </c>
      <c r="I65" s="28">
        <v>20.35</v>
      </c>
      <c r="J65" s="29">
        <v>14.92</v>
      </c>
      <c r="K65" s="28">
        <v>21.06</v>
      </c>
      <c r="L65" s="29">
        <v>18</v>
      </c>
      <c r="M65" s="28">
        <v>381.79</v>
      </c>
      <c r="N65" s="29">
        <v>284.84</v>
      </c>
      <c r="O65" s="28">
        <v>0.1</v>
      </c>
      <c r="P65" s="29">
        <f>O65*150/200</f>
        <v>0.075</v>
      </c>
      <c r="Q65" s="28">
        <v>0.44</v>
      </c>
      <c r="R65" s="29">
        <f>Q65*150/200</f>
        <v>0.33</v>
      </c>
      <c r="S65" s="28">
        <v>0.46</v>
      </c>
      <c r="T65" s="29">
        <v>0.41</v>
      </c>
      <c r="U65" s="28">
        <v>262.15</v>
      </c>
      <c r="V65" s="29">
        <f>U65*150/200</f>
        <v>196.6125</v>
      </c>
      <c r="W65" s="28">
        <v>1.04</v>
      </c>
      <c r="X65" s="29">
        <f>W65*150/200</f>
        <v>0.78</v>
      </c>
      <c r="Z65" s="57"/>
      <c r="AA65" s="57"/>
      <c r="AB65" s="57"/>
      <c r="AC65" s="57"/>
    </row>
    <row r="66" spans="1:31" ht="15" customHeight="1">
      <c r="A66" s="128" t="s">
        <v>83</v>
      </c>
      <c r="B66" s="67" t="s">
        <v>84</v>
      </c>
      <c r="C66" s="65" t="s">
        <v>5</v>
      </c>
      <c r="D66" s="65" t="s">
        <v>6</v>
      </c>
      <c r="E66" s="61">
        <v>0.55</v>
      </c>
      <c r="F66" s="61">
        <v>0.41</v>
      </c>
      <c r="G66" s="61">
        <v>0.18</v>
      </c>
      <c r="H66" s="62">
        <v>0.13</v>
      </c>
      <c r="I66" s="61">
        <f>J66*200/150</f>
        <v>0</v>
      </c>
      <c r="J66" s="62">
        <v>0</v>
      </c>
      <c r="K66" s="61">
        <v>4.78</v>
      </c>
      <c r="L66" s="62">
        <v>3.58</v>
      </c>
      <c r="M66" s="61">
        <v>19.9</v>
      </c>
      <c r="N66" s="62">
        <v>14.92</v>
      </c>
      <c r="O66" s="61">
        <f>P66*200/150</f>
        <v>0.013333333333333334</v>
      </c>
      <c r="P66" s="69">
        <v>0.01</v>
      </c>
      <c r="Q66" s="61">
        <f>R66*200/150</f>
        <v>0.013333333333333334</v>
      </c>
      <c r="R66" s="69">
        <v>0.01</v>
      </c>
      <c r="S66" s="61">
        <v>0.04</v>
      </c>
      <c r="T66" s="69">
        <v>0.03</v>
      </c>
      <c r="U66" s="61">
        <f>V66*200/150</f>
        <v>5.053333333333334</v>
      </c>
      <c r="V66" s="69">
        <v>3.79</v>
      </c>
      <c r="W66" s="61">
        <f>X66*200/150</f>
        <v>0.84</v>
      </c>
      <c r="X66" s="118">
        <v>0.63</v>
      </c>
      <c r="Y66" s="53"/>
      <c r="Z66" s="53"/>
      <c r="AA66" s="53"/>
      <c r="AB66" s="53"/>
      <c r="AC66" s="53"/>
      <c r="AD66" s="53"/>
      <c r="AE66" s="53"/>
    </row>
    <row r="67" spans="1:31" s="16" customFormat="1" ht="15" customHeight="1">
      <c r="A67" s="127"/>
      <c r="B67" s="23" t="s">
        <v>11</v>
      </c>
      <c r="C67" s="44" t="s">
        <v>14</v>
      </c>
      <c r="D67" s="44" t="s">
        <v>14</v>
      </c>
      <c r="E67" s="28">
        <v>1.11</v>
      </c>
      <c r="F67" s="28">
        <v>1.11</v>
      </c>
      <c r="G67" s="28">
        <v>1.6</v>
      </c>
      <c r="H67" s="28">
        <v>1.6</v>
      </c>
      <c r="I67" s="28">
        <v>0.4</v>
      </c>
      <c r="J67" s="28">
        <v>0.4</v>
      </c>
      <c r="K67" s="28">
        <v>10</v>
      </c>
      <c r="L67" s="28">
        <v>10</v>
      </c>
      <c r="M67" s="29">
        <v>54</v>
      </c>
      <c r="N67" s="29">
        <v>54</v>
      </c>
      <c r="O67" s="43">
        <v>0.04</v>
      </c>
      <c r="P67" s="47">
        <v>0.04</v>
      </c>
      <c r="Q67" s="43">
        <v>0.02</v>
      </c>
      <c r="R67" s="47">
        <v>0.02</v>
      </c>
      <c r="S67" s="43">
        <v>0</v>
      </c>
      <c r="T67" s="47">
        <v>0</v>
      </c>
      <c r="U67" s="43">
        <v>7.4</v>
      </c>
      <c r="V67" s="47">
        <v>7.4</v>
      </c>
      <c r="W67" s="43">
        <v>0.56</v>
      </c>
      <c r="X67" s="47">
        <v>0.56</v>
      </c>
      <c r="Y67" s="56"/>
      <c r="Z67" s="56"/>
      <c r="AA67" s="56"/>
      <c r="AB67" s="56"/>
      <c r="AC67" s="56"/>
      <c r="AD67" s="56"/>
      <c r="AE67" s="56"/>
    </row>
    <row r="68" spans="1:31" ht="15" customHeight="1">
      <c r="A68" s="22"/>
      <c r="B68" s="23" t="s">
        <v>7</v>
      </c>
      <c r="C68" s="44"/>
      <c r="D68" s="44"/>
      <c r="E68" s="17">
        <f>SUM(E65:E67)</f>
        <v>54.13999999999999</v>
      </c>
      <c r="F68" s="17">
        <f>SUM(F65:F67)</f>
        <v>38.92999999999999</v>
      </c>
      <c r="G68" s="17">
        <f aca="true" t="shared" si="11" ref="G68:T68">SUM(G65:G67)</f>
        <v>30.380000000000003</v>
      </c>
      <c r="H68" s="17">
        <f t="shared" si="11"/>
        <v>21.37</v>
      </c>
      <c r="I68" s="17">
        <f t="shared" si="11"/>
        <v>20.75</v>
      </c>
      <c r="J68" s="17">
        <f t="shared" si="11"/>
        <v>15.32</v>
      </c>
      <c r="K68" s="17">
        <f t="shared" si="11"/>
        <v>35.84</v>
      </c>
      <c r="L68" s="17">
        <f t="shared" si="11"/>
        <v>31.58</v>
      </c>
      <c r="M68" s="17">
        <f t="shared" si="11"/>
        <v>455.69</v>
      </c>
      <c r="N68" s="17">
        <f t="shared" si="11"/>
        <v>353.76</v>
      </c>
      <c r="O68" s="17">
        <f t="shared" si="11"/>
        <v>0.15333333333333335</v>
      </c>
      <c r="P68" s="17">
        <f t="shared" si="11"/>
        <v>0.125</v>
      </c>
      <c r="Q68" s="17">
        <f t="shared" si="11"/>
        <v>0.47333333333333333</v>
      </c>
      <c r="R68" s="17">
        <f t="shared" si="11"/>
        <v>0.36000000000000004</v>
      </c>
      <c r="S68" s="17">
        <f t="shared" si="11"/>
        <v>0.5</v>
      </c>
      <c r="T68" s="17">
        <f t="shared" si="11"/>
        <v>0.43999999999999995</v>
      </c>
      <c r="U68" s="17">
        <f>SUM(U65:U67)</f>
        <v>274.6033333333333</v>
      </c>
      <c r="V68" s="17">
        <f>SUM(V65:V67)</f>
        <v>207.8025</v>
      </c>
      <c r="W68" s="17">
        <f>SUM(W65:W67)</f>
        <v>2.44</v>
      </c>
      <c r="X68" s="72">
        <f>SUM(X65:X67)</f>
        <v>1.9700000000000002</v>
      </c>
      <c r="Y68" s="63"/>
      <c r="Z68" s="58"/>
      <c r="AA68" s="58"/>
      <c r="AB68" s="58"/>
      <c r="AC68" s="58"/>
      <c r="AD68" s="53"/>
      <c r="AE68" s="53"/>
    </row>
    <row r="69" spans="1:31" ht="15" customHeight="1">
      <c r="A69" s="22"/>
      <c r="B69" s="23" t="s">
        <v>15</v>
      </c>
      <c r="C69" s="44"/>
      <c r="D69" s="44"/>
      <c r="E69" s="17">
        <f>E68+E63+E60+E51+E48</f>
        <v>139.06</v>
      </c>
      <c r="F69" s="17">
        <f>F68+F63+F60+F51+F48</f>
        <v>114.09999999999998</v>
      </c>
      <c r="G69" s="17">
        <f aca="true" t="shared" si="12" ref="G69:T69">G68+G63+G60+G51+G48</f>
        <v>90.91000000000001</v>
      </c>
      <c r="H69" s="17">
        <f t="shared" si="12"/>
        <v>70.75923076923077</v>
      </c>
      <c r="I69" s="17">
        <f t="shared" si="12"/>
        <v>76.16999999999999</v>
      </c>
      <c r="J69" s="17">
        <f t="shared" si="12"/>
        <v>57.78946153846154</v>
      </c>
      <c r="K69" s="17">
        <f t="shared" si="12"/>
        <v>256.12</v>
      </c>
      <c r="L69" s="17">
        <f t="shared" si="12"/>
        <v>214.55807692307692</v>
      </c>
      <c r="M69" s="17">
        <f t="shared" si="12"/>
        <v>2056.1499999999996</v>
      </c>
      <c r="N69" s="17">
        <f t="shared" si="12"/>
        <v>1642.318076923077</v>
      </c>
      <c r="O69" s="17">
        <f t="shared" si="12"/>
        <v>1.3973333333333335</v>
      </c>
      <c r="P69" s="17">
        <f t="shared" si="12"/>
        <v>1.0976282051282051</v>
      </c>
      <c r="Q69" s="17">
        <f t="shared" si="12"/>
        <v>1.5773333333333333</v>
      </c>
      <c r="R69" s="17">
        <f t="shared" si="12"/>
        <v>1.3198076923076925</v>
      </c>
      <c r="S69" s="17">
        <f t="shared" si="12"/>
        <v>121.21</v>
      </c>
      <c r="T69" s="17">
        <f t="shared" si="12"/>
        <v>89.64000000000001</v>
      </c>
      <c r="U69" s="17">
        <f>U68+U63+U60+U51+U48</f>
        <v>1149.415</v>
      </c>
      <c r="V69" s="17">
        <f>V68+V63+V60+V51+V48</f>
        <v>959.2319230769231</v>
      </c>
      <c r="W69" s="17">
        <f>W68+W63+W60+W51+W48</f>
        <v>14.742</v>
      </c>
      <c r="X69" s="17">
        <f>X68+X63+X60+X51+X48</f>
        <v>12.05096153846154</v>
      </c>
      <c r="Y69" s="72">
        <f>Y68+Y63+Y60+Y51+Y48</f>
        <v>0</v>
      </c>
      <c r="Z69" s="58"/>
      <c r="AA69" s="58"/>
      <c r="AB69" s="58"/>
      <c r="AC69" s="58"/>
      <c r="AD69" s="53"/>
      <c r="AE69" s="53"/>
    </row>
    <row r="70" spans="1:31" ht="15" customHeight="1">
      <c r="A70" s="22"/>
      <c r="B70" s="144" t="s">
        <v>136</v>
      </c>
      <c r="C70" s="44"/>
      <c r="D70" s="44"/>
      <c r="E70" s="17"/>
      <c r="F70" s="28"/>
      <c r="G70" s="28"/>
      <c r="H70" s="29"/>
      <c r="I70" s="29"/>
      <c r="J70" s="29"/>
      <c r="K70" s="29"/>
      <c r="L70" s="29"/>
      <c r="M70" s="29"/>
      <c r="N70" s="29"/>
      <c r="O70" s="42"/>
      <c r="P70" s="42"/>
      <c r="Q70" s="42"/>
      <c r="R70" s="42"/>
      <c r="S70" s="42"/>
      <c r="T70" s="42"/>
      <c r="U70" s="42"/>
      <c r="V70" s="42"/>
      <c r="W70" s="42"/>
      <c r="X70" s="75"/>
      <c r="Y70" s="54"/>
      <c r="Z70" s="53"/>
      <c r="AA70" s="53"/>
      <c r="AB70" s="53"/>
      <c r="AC70" s="53"/>
      <c r="AD70" s="53"/>
      <c r="AE70" s="53"/>
    </row>
    <row r="71" spans="1:31" ht="15" customHeight="1">
      <c r="A71" s="22"/>
      <c r="B71" s="91" t="s">
        <v>4</v>
      </c>
      <c r="C71" s="44"/>
      <c r="D71" s="44"/>
      <c r="E71" s="28"/>
      <c r="F71" s="28"/>
      <c r="G71" s="28"/>
      <c r="H71" s="29"/>
      <c r="I71" s="29"/>
      <c r="J71" s="29"/>
      <c r="K71" s="29"/>
      <c r="L71" s="29"/>
      <c r="M71" s="29"/>
      <c r="N71" s="29"/>
      <c r="O71" s="42"/>
      <c r="P71" s="42"/>
      <c r="Q71" s="42"/>
      <c r="R71" s="42"/>
      <c r="S71" s="42"/>
      <c r="T71" s="42"/>
      <c r="U71" s="42"/>
      <c r="V71" s="42"/>
      <c r="W71" s="42"/>
      <c r="X71" s="75"/>
      <c r="Y71" s="54"/>
      <c r="Z71" s="53"/>
      <c r="AA71" s="53"/>
      <c r="AB71" s="53"/>
      <c r="AC71" s="53"/>
      <c r="AD71" s="53"/>
      <c r="AE71" s="53"/>
    </row>
    <row r="72" spans="1:30" s="7" customFormat="1" ht="15" customHeight="1">
      <c r="A72" s="127" t="s">
        <v>51</v>
      </c>
      <c r="B72" s="23" t="s">
        <v>53</v>
      </c>
      <c r="C72" s="44" t="s">
        <v>82</v>
      </c>
      <c r="D72" s="44" t="s">
        <v>82</v>
      </c>
      <c r="E72" s="28">
        <v>4.03</v>
      </c>
      <c r="F72" s="28">
        <v>4.03</v>
      </c>
      <c r="G72" s="28">
        <v>1.63</v>
      </c>
      <c r="H72" s="29">
        <v>1.63</v>
      </c>
      <c r="I72" s="29">
        <v>4.7</v>
      </c>
      <c r="J72" s="29">
        <v>4.7</v>
      </c>
      <c r="K72" s="29">
        <v>10.4</v>
      </c>
      <c r="L72" s="29">
        <v>10.4</v>
      </c>
      <c r="M72" s="29">
        <v>90.42</v>
      </c>
      <c r="N72" s="29">
        <v>90.42</v>
      </c>
      <c r="O72" s="41">
        <v>0.08</v>
      </c>
      <c r="P72" s="45">
        <v>0.05</v>
      </c>
      <c r="Q72" s="41">
        <v>0.04</v>
      </c>
      <c r="R72" s="45">
        <v>0.02</v>
      </c>
      <c r="S72" s="41">
        <v>0</v>
      </c>
      <c r="T72" s="29">
        <f>S72*25/45</f>
        <v>0</v>
      </c>
      <c r="U72" s="43">
        <v>13.6</v>
      </c>
      <c r="V72" s="47">
        <v>8.6</v>
      </c>
      <c r="W72" s="43">
        <v>0.81</v>
      </c>
      <c r="X72" s="47">
        <v>0.49</v>
      </c>
      <c r="Y72" s="76"/>
      <c r="Z72" s="76"/>
      <c r="AA72" s="76"/>
      <c r="AB72" s="76"/>
      <c r="AC72" s="76"/>
      <c r="AD72" s="76"/>
    </row>
    <row r="73" spans="1:33" ht="25.5" customHeight="1">
      <c r="A73" s="128" t="s">
        <v>54</v>
      </c>
      <c r="B73" s="110" t="s">
        <v>103</v>
      </c>
      <c r="C73" s="65" t="s">
        <v>85</v>
      </c>
      <c r="D73" s="65" t="s">
        <v>86</v>
      </c>
      <c r="E73" s="61">
        <v>11.62</v>
      </c>
      <c r="F73" s="61">
        <v>9.09</v>
      </c>
      <c r="G73" s="133">
        <v>4.4</v>
      </c>
      <c r="H73" s="133">
        <v>4.12</v>
      </c>
      <c r="I73" s="133">
        <v>4.06</v>
      </c>
      <c r="J73" s="133">
        <v>4.03</v>
      </c>
      <c r="K73" s="133">
        <v>26.99</v>
      </c>
      <c r="L73" s="133">
        <v>25.31</v>
      </c>
      <c r="M73" s="133">
        <v>162</v>
      </c>
      <c r="N73" s="133">
        <v>154</v>
      </c>
      <c r="O73" s="134">
        <v>0.17</v>
      </c>
      <c r="P73" s="133">
        <f>O73*150/200</f>
        <v>0.12750000000000003</v>
      </c>
      <c r="Q73" s="134">
        <v>0.26</v>
      </c>
      <c r="R73" s="133">
        <f>Q73*150/200</f>
        <v>0.195</v>
      </c>
      <c r="S73" s="134">
        <v>0</v>
      </c>
      <c r="T73" s="133">
        <v>0</v>
      </c>
      <c r="U73" s="134">
        <v>180.02</v>
      </c>
      <c r="V73" s="133">
        <v>170.02</v>
      </c>
      <c r="W73" s="134">
        <v>0.75</v>
      </c>
      <c r="X73" s="135">
        <f>W73*150/200</f>
        <v>0.5625</v>
      </c>
      <c r="Y73" s="54"/>
      <c r="Z73" s="53"/>
      <c r="AA73" s="53"/>
      <c r="AB73" s="53"/>
      <c r="AC73" s="53"/>
      <c r="AD73" s="53"/>
      <c r="AE73" s="53"/>
      <c r="AF73" s="53"/>
      <c r="AG73" s="53"/>
    </row>
    <row r="74" spans="1:31" ht="15.75" customHeight="1">
      <c r="A74" s="127" t="s">
        <v>49</v>
      </c>
      <c r="B74" s="23" t="s">
        <v>52</v>
      </c>
      <c r="C74" s="44" t="s">
        <v>29</v>
      </c>
      <c r="D74" s="44" t="s">
        <v>6</v>
      </c>
      <c r="E74" s="28">
        <v>6.01</v>
      </c>
      <c r="F74" s="28">
        <v>4.84</v>
      </c>
      <c r="G74" s="28">
        <v>2.85</v>
      </c>
      <c r="H74" s="29">
        <v>2.34</v>
      </c>
      <c r="I74" s="28">
        <v>2.41</v>
      </c>
      <c r="J74" s="29">
        <v>2</v>
      </c>
      <c r="K74" s="28">
        <v>14.36</v>
      </c>
      <c r="L74" s="29">
        <v>10.63</v>
      </c>
      <c r="M74" s="28">
        <v>91</v>
      </c>
      <c r="N74" s="29">
        <v>70</v>
      </c>
      <c r="O74" s="28">
        <f>P74*180/150</f>
        <v>0.012</v>
      </c>
      <c r="P74" s="45">
        <v>0.01</v>
      </c>
      <c r="Q74" s="28">
        <f>R74*180/150</f>
        <v>0.084</v>
      </c>
      <c r="R74" s="45">
        <v>0.07</v>
      </c>
      <c r="S74" s="28">
        <v>1.17</v>
      </c>
      <c r="T74" s="29">
        <f>S74*150/180</f>
        <v>0.975</v>
      </c>
      <c r="U74" s="28">
        <f>V74*180/150</f>
        <v>57.516</v>
      </c>
      <c r="V74" s="45">
        <v>47.93</v>
      </c>
      <c r="W74" s="28">
        <f>X74*180/150</f>
        <v>0.264</v>
      </c>
      <c r="X74" s="45">
        <v>0.22</v>
      </c>
      <c r="Y74" s="53"/>
      <c r="Z74" s="53"/>
      <c r="AA74" s="53"/>
      <c r="AB74" s="53"/>
      <c r="AC74" s="53"/>
      <c r="AD74" s="53"/>
      <c r="AE74" s="53"/>
    </row>
    <row r="75" spans="1:31" ht="15" customHeight="1">
      <c r="A75" s="22"/>
      <c r="B75" s="23" t="s">
        <v>7</v>
      </c>
      <c r="C75" s="44"/>
      <c r="D75" s="44"/>
      <c r="E75" s="17">
        <f>SUM(E72:E74)</f>
        <v>21.659999999999997</v>
      </c>
      <c r="F75" s="17">
        <f>SUM(F72:F74)</f>
        <v>17.96</v>
      </c>
      <c r="G75" s="17">
        <f aca="true" t="shared" si="13" ref="G75:T75">SUM(G72:G74)</f>
        <v>8.88</v>
      </c>
      <c r="H75" s="17">
        <f t="shared" si="13"/>
        <v>8.09</v>
      </c>
      <c r="I75" s="17">
        <f t="shared" si="13"/>
        <v>11.17</v>
      </c>
      <c r="J75" s="17">
        <f t="shared" si="13"/>
        <v>10.73</v>
      </c>
      <c r="K75" s="17">
        <f t="shared" si="13"/>
        <v>51.75</v>
      </c>
      <c r="L75" s="17">
        <f t="shared" si="13"/>
        <v>46.34</v>
      </c>
      <c r="M75" s="17">
        <f t="shared" si="13"/>
        <v>343.42</v>
      </c>
      <c r="N75" s="17">
        <f t="shared" si="13"/>
        <v>314.42</v>
      </c>
      <c r="O75" s="17">
        <f t="shared" si="13"/>
        <v>0.262</v>
      </c>
      <c r="P75" s="17">
        <f t="shared" si="13"/>
        <v>0.18750000000000006</v>
      </c>
      <c r="Q75" s="17">
        <f t="shared" si="13"/>
        <v>0.384</v>
      </c>
      <c r="R75" s="17">
        <f t="shared" si="13"/>
        <v>0.28500000000000003</v>
      </c>
      <c r="S75" s="17">
        <f t="shared" si="13"/>
        <v>1.17</v>
      </c>
      <c r="T75" s="17">
        <f t="shared" si="13"/>
        <v>0.975</v>
      </c>
      <c r="U75" s="17">
        <f aca="true" t="shared" si="14" ref="U75:AB75">SUM(U72:U74)</f>
        <v>251.136</v>
      </c>
      <c r="V75" s="17">
        <f t="shared" si="14"/>
        <v>226.55</v>
      </c>
      <c r="W75" s="17">
        <f t="shared" si="14"/>
        <v>1.824</v>
      </c>
      <c r="X75" s="17">
        <f t="shared" si="14"/>
        <v>1.2725</v>
      </c>
      <c r="Y75" s="17">
        <f t="shared" si="14"/>
        <v>0</v>
      </c>
      <c r="Z75" s="17">
        <f t="shared" si="14"/>
        <v>0</v>
      </c>
      <c r="AA75" s="17">
        <f t="shared" si="14"/>
        <v>0</v>
      </c>
      <c r="AB75" s="17">
        <f t="shared" si="14"/>
        <v>0</v>
      </c>
      <c r="AC75" s="58"/>
      <c r="AD75" s="58"/>
      <c r="AE75" s="53"/>
    </row>
    <row r="76" spans="1:31" ht="15" customHeight="1">
      <c r="A76" s="22"/>
      <c r="B76" s="91" t="s">
        <v>16</v>
      </c>
      <c r="C76" s="44"/>
      <c r="D76" s="44"/>
      <c r="E76" s="28"/>
      <c r="F76" s="28"/>
      <c r="G76" s="28"/>
      <c r="H76" s="29"/>
      <c r="I76" s="29"/>
      <c r="J76" s="29"/>
      <c r="K76" s="29"/>
      <c r="L76" s="29"/>
      <c r="M76" s="29"/>
      <c r="N76" s="29"/>
      <c r="O76" s="42"/>
      <c r="P76" s="42"/>
      <c r="Q76" s="42"/>
      <c r="R76" s="42"/>
      <c r="S76" s="42"/>
      <c r="T76" s="42"/>
      <c r="U76" s="42"/>
      <c r="V76" s="42"/>
      <c r="W76" s="42"/>
      <c r="X76" s="75"/>
      <c r="Y76" s="54"/>
      <c r="Z76" s="53"/>
      <c r="AA76" s="53"/>
      <c r="AB76" s="53"/>
      <c r="AC76" s="53"/>
      <c r="AD76" s="53"/>
      <c r="AE76" s="53"/>
    </row>
    <row r="77" spans="1:30" ht="15" customHeight="1">
      <c r="A77" s="128" t="s">
        <v>23</v>
      </c>
      <c r="B77" s="64" t="s">
        <v>73</v>
      </c>
      <c r="C77" s="65" t="s">
        <v>6</v>
      </c>
      <c r="D77" s="65" t="s">
        <v>106</v>
      </c>
      <c r="E77" s="61">
        <v>12.36</v>
      </c>
      <c r="F77" s="61">
        <v>11.12</v>
      </c>
      <c r="G77" s="66">
        <f>H77*150/135</f>
        <v>4.5</v>
      </c>
      <c r="H77" s="66">
        <v>4.05</v>
      </c>
      <c r="I77" s="66">
        <f>J77*150/135</f>
        <v>3.7555555555555555</v>
      </c>
      <c r="J77" s="66">
        <v>3.38</v>
      </c>
      <c r="K77" s="66">
        <f>L77*150/135</f>
        <v>6</v>
      </c>
      <c r="L77" s="66">
        <v>5.4</v>
      </c>
      <c r="M77" s="66">
        <f>N77*150/135</f>
        <v>75.75555555555557</v>
      </c>
      <c r="N77" s="66">
        <v>68.18</v>
      </c>
      <c r="O77" s="66">
        <f>P77*180/150</f>
        <v>0.06</v>
      </c>
      <c r="P77" s="66">
        <v>0.05</v>
      </c>
      <c r="Q77" s="66">
        <f>R77*180/150</f>
        <v>0.31200000000000006</v>
      </c>
      <c r="R77" s="66">
        <v>0.26</v>
      </c>
      <c r="S77" s="66">
        <f>T77*150/135</f>
        <v>1.1</v>
      </c>
      <c r="T77" s="66">
        <v>0.99</v>
      </c>
      <c r="U77" s="28">
        <v>235.31</v>
      </c>
      <c r="V77" s="29">
        <f>U77*150/180</f>
        <v>196.09166666666667</v>
      </c>
      <c r="W77" s="28">
        <v>0.19</v>
      </c>
      <c r="X77" s="74">
        <f>W77*150/180</f>
        <v>0.15833333333333333</v>
      </c>
      <c r="Y77" s="59"/>
      <c r="Z77" s="57"/>
      <c r="AA77" s="57"/>
      <c r="AB77" s="57"/>
      <c r="AC77" s="57"/>
      <c r="AD77" s="57"/>
    </row>
    <row r="78" spans="1:31" ht="15" customHeight="1">
      <c r="A78" s="22"/>
      <c r="B78" s="23" t="s">
        <v>7</v>
      </c>
      <c r="C78" s="44"/>
      <c r="D78" s="44"/>
      <c r="E78" s="17">
        <f>SUM(E77)</f>
        <v>12.36</v>
      </c>
      <c r="F78" s="17">
        <f>SUM(F77)</f>
        <v>11.12</v>
      </c>
      <c r="G78" s="17">
        <f aca="true" t="shared" si="15" ref="G78:T78">SUM(G77)</f>
        <v>4.5</v>
      </c>
      <c r="H78" s="17">
        <f t="shared" si="15"/>
        <v>4.05</v>
      </c>
      <c r="I78" s="17">
        <f t="shared" si="15"/>
        <v>3.7555555555555555</v>
      </c>
      <c r="J78" s="17">
        <f t="shared" si="15"/>
        <v>3.38</v>
      </c>
      <c r="K78" s="17">
        <f t="shared" si="15"/>
        <v>6</v>
      </c>
      <c r="L78" s="17">
        <f t="shared" si="15"/>
        <v>5.4</v>
      </c>
      <c r="M78" s="17">
        <f t="shared" si="15"/>
        <v>75.75555555555557</v>
      </c>
      <c r="N78" s="17">
        <f t="shared" si="15"/>
        <v>68.18</v>
      </c>
      <c r="O78" s="17">
        <f t="shared" si="15"/>
        <v>0.06</v>
      </c>
      <c r="P78" s="17">
        <f t="shared" si="15"/>
        <v>0.05</v>
      </c>
      <c r="Q78" s="17">
        <f t="shared" si="15"/>
        <v>0.31200000000000006</v>
      </c>
      <c r="R78" s="17">
        <f t="shared" si="15"/>
        <v>0.26</v>
      </c>
      <c r="S78" s="17">
        <f t="shared" si="15"/>
        <v>1.1</v>
      </c>
      <c r="T78" s="17">
        <f t="shared" si="15"/>
        <v>0.99</v>
      </c>
      <c r="U78" s="17">
        <f>SUM(U77)</f>
        <v>235.31</v>
      </c>
      <c r="V78" s="17">
        <f>SUM(V77)</f>
        <v>196.09166666666667</v>
      </c>
      <c r="W78" s="17">
        <f>SUM(W77)</f>
        <v>0.19</v>
      </c>
      <c r="X78" s="17">
        <f>SUM(X77)</f>
        <v>0.15833333333333333</v>
      </c>
      <c r="Y78" s="72">
        <f>SUM(Y77)</f>
        <v>0</v>
      </c>
      <c r="Z78" s="58"/>
      <c r="AA78" s="58"/>
      <c r="AB78" s="58"/>
      <c r="AC78" s="58"/>
      <c r="AD78" s="53"/>
      <c r="AE78" s="53"/>
    </row>
    <row r="79" spans="1:31" ht="15" customHeight="1">
      <c r="A79" s="22"/>
      <c r="B79" s="91" t="s">
        <v>9</v>
      </c>
      <c r="C79" s="44"/>
      <c r="D79" s="44"/>
      <c r="E79" s="28"/>
      <c r="F79" s="28"/>
      <c r="G79" s="28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74"/>
      <c r="Y79" s="59"/>
      <c r="Z79" s="57"/>
      <c r="AA79" s="57"/>
      <c r="AB79" s="57"/>
      <c r="AC79" s="57"/>
      <c r="AD79" s="53"/>
      <c r="AE79" s="53"/>
    </row>
    <row r="80" spans="1:24" ht="15.75" customHeight="1">
      <c r="A80" s="143"/>
      <c r="B80" s="23" t="s">
        <v>150</v>
      </c>
      <c r="C80" s="44" t="s">
        <v>28</v>
      </c>
      <c r="D80" s="44" t="s">
        <v>107</v>
      </c>
      <c r="E80" s="28">
        <v>3.48</v>
      </c>
      <c r="F80" s="28">
        <v>2.61</v>
      </c>
      <c r="G80" s="29">
        <f>H80*60/45</f>
        <v>0.36000000000000004</v>
      </c>
      <c r="H80" s="29">
        <v>0.27</v>
      </c>
      <c r="I80" s="29">
        <v>0</v>
      </c>
      <c r="J80" s="29">
        <f>I80*30/40</f>
        <v>0</v>
      </c>
      <c r="K80" s="29">
        <f>L80*60/45</f>
        <v>2.52</v>
      </c>
      <c r="L80" s="29">
        <v>1.89</v>
      </c>
      <c r="M80" s="29">
        <f>N80*60/45</f>
        <v>11.946666666666667</v>
      </c>
      <c r="N80" s="29">
        <v>8.96</v>
      </c>
      <c r="O80" s="41">
        <v>0.02</v>
      </c>
      <c r="P80" s="29">
        <f>O80*30/40</f>
        <v>0.015</v>
      </c>
      <c r="Q80" s="41">
        <v>0.02</v>
      </c>
      <c r="R80" s="29">
        <f>Q80*30/40</f>
        <v>0.015</v>
      </c>
      <c r="S80" s="29">
        <f>T80*60/45</f>
        <v>15</v>
      </c>
      <c r="T80" s="29">
        <v>11.25</v>
      </c>
      <c r="U80" s="41">
        <v>5.6</v>
      </c>
      <c r="V80" s="29">
        <f>U80*30/40</f>
        <v>4.2</v>
      </c>
      <c r="W80" s="41">
        <v>0.56</v>
      </c>
      <c r="X80" s="29">
        <f>W80*30/40</f>
        <v>0.42000000000000004</v>
      </c>
    </row>
    <row r="81" spans="1:24" ht="25.5" customHeight="1">
      <c r="A81" s="143" t="s">
        <v>80</v>
      </c>
      <c r="B81" s="25" t="s">
        <v>151</v>
      </c>
      <c r="C81" s="44" t="s">
        <v>152</v>
      </c>
      <c r="D81" s="44" t="s">
        <v>153</v>
      </c>
      <c r="E81" s="28">
        <v>13.68</v>
      </c>
      <c r="F81" s="28">
        <v>12.8</v>
      </c>
      <c r="G81" s="41">
        <v>5.65</v>
      </c>
      <c r="H81" s="41">
        <v>5.21</v>
      </c>
      <c r="I81" s="41">
        <v>8.27</v>
      </c>
      <c r="J81" s="41">
        <v>7.39</v>
      </c>
      <c r="K81" s="41">
        <v>12.96</v>
      </c>
      <c r="L81" s="41">
        <v>7.6</v>
      </c>
      <c r="M81" s="41">
        <v>148.7</v>
      </c>
      <c r="N81" s="41">
        <v>117.6</v>
      </c>
      <c r="O81" s="41">
        <v>0.05</v>
      </c>
      <c r="P81" s="41">
        <f>O81*180/235</f>
        <v>0.03829787234042553</v>
      </c>
      <c r="Q81" s="41">
        <v>0.04</v>
      </c>
      <c r="R81" s="41">
        <f>Q81*180/235</f>
        <v>0.030638297872340427</v>
      </c>
      <c r="S81" s="41">
        <v>14.53</v>
      </c>
      <c r="T81" s="41">
        <v>11.03</v>
      </c>
      <c r="U81" s="41">
        <v>32.5</v>
      </c>
      <c r="V81" s="41">
        <f>U81*180/235</f>
        <v>24.893617021276597</v>
      </c>
      <c r="W81" s="41">
        <v>1.59</v>
      </c>
      <c r="X81" s="41">
        <f>W81*180/235</f>
        <v>1.2178723404255318</v>
      </c>
    </row>
    <row r="82" spans="1:29" ht="23.25" customHeight="1">
      <c r="A82" s="139" t="s">
        <v>108</v>
      </c>
      <c r="B82" s="67" t="s">
        <v>109</v>
      </c>
      <c r="C82" s="65" t="s">
        <v>74</v>
      </c>
      <c r="D82" s="65" t="s">
        <v>110</v>
      </c>
      <c r="E82" s="61">
        <v>24</v>
      </c>
      <c r="F82" s="61">
        <v>21.96</v>
      </c>
      <c r="G82" s="66">
        <v>37.56</v>
      </c>
      <c r="H82" s="66">
        <f>G82*150/200</f>
        <v>28.17</v>
      </c>
      <c r="I82" s="66">
        <v>15.5</v>
      </c>
      <c r="J82" s="66">
        <v>11.62</v>
      </c>
      <c r="K82" s="66">
        <v>58.98</v>
      </c>
      <c r="L82" s="66">
        <v>44.23</v>
      </c>
      <c r="M82" s="66">
        <v>525.4</v>
      </c>
      <c r="N82" s="115">
        <v>394.05</v>
      </c>
      <c r="O82" s="146">
        <v>0.36</v>
      </c>
      <c r="P82" s="146">
        <v>0.11</v>
      </c>
      <c r="Q82" s="146">
        <v>0.14</v>
      </c>
      <c r="R82" s="146">
        <v>0.09</v>
      </c>
      <c r="S82" s="146">
        <v>0.51</v>
      </c>
      <c r="T82" s="146">
        <v>0.38</v>
      </c>
      <c r="U82" s="146">
        <v>55.04</v>
      </c>
      <c r="V82" s="146">
        <v>24.71</v>
      </c>
      <c r="W82" s="62">
        <v>1.5</v>
      </c>
      <c r="X82" s="146">
        <v>1.27</v>
      </c>
      <c r="Y82" s="1"/>
      <c r="Z82" s="53"/>
      <c r="AA82" s="53"/>
      <c r="AB82" s="53"/>
      <c r="AC82" s="53"/>
    </row>
    <row r="83" spans="1:28" ht="17.25" customHeight="1">
      <c r="A83" s="128" t="s">
        <v>154</v>
      </c>
      <c r="B83" s="64" t="s">
        <v>155</v>
      </c>
      <c r="C83" s="65" t="s">
        <v>5</v>
      </c>
      <c r="D83" s="65" t="s">
        <v>6</v>
      </c>
      <c r="E83" s="61">
        <v>4.16</v>
      </c>
      <c r="F83" s="61">
        <v>3.12</v>
      </c>
      <c r="G83" s="66">
        <v>0.12</v>
      </c>
      <c r="H83" s="68">
        <f>G83*150/200</f>
        <v>0.09</v>
      </c>
      <c r="I83" s="66">
        <v>0.04</v>
      </c>
      <c r="J83" s="68">
        <f>I83*150/200</f>
        <v>0.03</v>
      </c>
      <c r="K83" s="66">
        <v>21.42</v>
      </c>
      <c r="L83" s="68">
        <f>K83*150/200</f>
        <v>16.065</v>
      </c>
      <c r="M83" s="66">
        <v>86.44</v>
      </c>
      <c r="N83" s="68">
        <f>M83*150/200</f>
        <v>64.83</v>
      </c>
      <c r="O83" s="62">
        <v>0.02</v>
      </c>
      <c r="P83" s="62">
        <f>O83*150/200</f>
        <v>0.015</v>
      </c>
      <c r="Q83" s="62">
        <v>0.01</v>
      </c>
      <c r="R83" s="62">
        <f>Q83*150/200</f>
        <v>0.0075</v>
      </c>
      <c r="S83" s="62">
        <v>5</v>
      </c>
      <c r="T83" s="68">
        <f>S83*150/200</f>
        <v>3.75</v>
      </c>
      <c r="U83" s="62">
        <v>12.3</v>
      </c>
      <c r="V83" s="62">
        <f>U83*150/200</f>
        <v>9.225</v>
      </c>
      <c r="W83" s="70">
        <v>2</v>
      </c>
      <c r="X83" s="82">
        <f>W83*150/200</f>
        <v>1.5</v>
      </c>
      <c r="Y83" s="53"/>
      <c r="Z83" s="53"/>
      <c r="AA83" s="53"/>
      <c r="AB83" s="53"/>
    </row>
    <row r="84" spans="1:31" s="16" customFormat="1" ht="15" customHeight="1">
      <c r="A84" s="127"/>
      <c r="B84" s="23" t="s">
        <v>11</v>
      </c>
      <c r="C84" s="44" t="s">
        <v>14</v>
      </c>
      <c r="D84" s="44" t="s">
        <v>14</v>
      </c>
      <c r="E84" s="28">
        <v>1.11</v>
      </c>
      <c r="F84" s="28">
        <v>1.11</v>
      </c>
      <c r="G84" s="28">
        <v>1.6</v>
      </c>
      <c r="H84" s="28">
        <v>1.6</v>
      </c>
      <c r="I84" s="28">
        <v>0.4</v>
      </c>
      <c r="J84" s="28">
        <v>0.4</v>
      </c>
      <c r="K84" s="28">
        <v>10</v>
      </c>
      <c r="L84" s="28">
        <v>10</v>
      </c>
      <c r="M84" s="29">
        <v>54</v>
      </c>
      <c r="N84" s="29">
        <v>54</v>
      </c>
      <c r="O84" s="43">
        <v>0.04</v>
      </c>
      <c r="P84" s="47">
        <v>0.04</v>
      </c>
      <c r="Q84" s="43">
        <v>0.02</v>
      </c>
      <c r="R84" s="47">
        <v>0.02</v>
      </c>
      <c r="S84" s="43">
        <v>0</v>
      </c>
      <c r="T84" s="47">
        <v>0</v>
      </c>
      <c r="U84" s="43">
        <v>7.4</v>
      </c>
      <c r="V84" s="47">
        <v>7.4</v>
      </c>
      <c r="W84" s="43">
        <v>0.56</v>
      </c>
      <c r="X84" s="47">
        <v>0.56</v>
      </c>
      <c r="Y84" s="56"/>
      <c r="Z84" s="56"/>
      <c r="AA84" s="56"/>
      <c r="AB84" s="56"/>
      <c r="AC84" s="56"/>
      <c r="AD84" s="56"/>
      <c r="AE84" s="56"/>
    </row>
    <row r="85" spans="1:31" ht="15" customHeight="1">
      <c r="A85" s="127"/>
      <c r="B85" s="23" t="s">
        <v>46</v>
      </c>
      <c r="C85" s="44" t="s">
        <v>76</v>
      </c>
      <c r="D85" s="44" t="s">
        <v>77</v>
      </c>
      <c r="E85" s="28">
        <v>2.09</v>
      </c>
      <c r="F85" s="28">
        <v>1.83</v>
      </c>
      <c r="G85" s="28">
        <v>3.25</v>
      </c>
      <c r="H85" s="29">
        <v>2.84</v>
      </c>
      <c r="I85" s="29">
        <v>0.46</v>
      </c>
      <c r="J85" s="29">
        <f>I85*40.6/46</f>
        <v>0.406</v>
      </c>
      <c r="K85" s="29">
        <v>20.88</v>
      </c>
      <c r="L85" s="29">
        <v>18.27</v>
      </c>
      <c r="M85" s="29">
        <v>102.08</v>
      </c>
      <c r="N85" s="29">
        <v>89.32</v>
      </c>
      <c r="O85" s="41">
        <v>0.06</v>
      </c>
      <c r="P85" s="45">
        <v>0.04</v>
      </c>
      <c r="Q85" s="41">
        <v>0.04</v>
      </c>
      <c r="R85" s="45">
        <v>0.03</v>
      </c>
      <c r="S85" s="41">
        <v>0</v>
      </c>
      <c r="T85" s="29">
        <f>S85*40.6/46</f>
        <v>0</v>
      </c>
      <c r="U85" s="43">
        <v>17</v>
      </c>
      <c r="V85" s="47">
        <v>13.6</v>
      </c>
      <c r="W85" s="43">
        <v>1.15</v>
      </c>
      <c r="X85" s="47">
        <v>0.92</v>
      </c>
      <c r="Y85" s="53"/>
      <c r="Z85" s="53"/>
      <c r="AA85" s="53"/>
      <c r="AB85" s="53"/>
      <c r="AC85" s="53"/>
      <c r="AD85" s="53"/>
      <c r="AE85" s="53"/>
    </row>
    <row r="86" spans="1:31" ht="15" customHeight="1">
      <c r="A86" s="22"/>
      <c r="B86" s="23" t="s">
        <v>7</v>
      </c>
      <c r="C86" s="44"/>
      <c r="D86" s="44"/>
      <c r="E86" s="17">
        <f>SUM(E80:E85)</f>
        <v>48.519999999999996</v>
      </c>
      <c r="F86" s="17">
        <f>SUM(F80:F85)</f>
        <v>43.43</v>
      </c>
      <c r="G86" s="17">
        <f>SUM(G80:G85)-5</f>
        <v>43.54</v>
      </c>
      <c r="H86" s="17">
        <f>SUM(H80:H85)-5</f>
        <v>33.18000000000001</v>
      </c>
      <c r="I86" s="17">
        <f aca="true" t="shared" si="16" ref="I86:R86">SUM(I80:I85)</f>
        <v>24.669999999999998</v>
      </c>
      <c r="J86" s="17">
        <f t="shared" si="16"/>
        <v>19.845999999999997</v>
      </c>
      <c r="K86" s="17">
        <f t="shared" si="16"/>
        <v>126.75999999999999</v>
      </c>
      <c r="L86" s="17">
        <f t="shared" si="16"/>
        <v>98.05499999999999</v>
      </c>
      <c r="M86" s="17">
        <f>SUM(M80:M85)-0</f>
        <v>928.5666666666667</v>
      </c>
      <c r="N86" s="17">
        <f>SUM(N80:N85)-29</f>
        <v>699.76</v>
      </c>
      <c r="O86" s="17">
        <f t="shared" si="16"/>
        <v>0.55</v>
      </c>
      <c r="P86" s="17">
        <f t="shared" si="16"/>
        <v>0.25829787234042556</v>
      </c>
      <c r="Q86" s="17">
        <f t="shared" si="16"/>
        <v>0.27</v>
      </c>
      <c r="R86" s="17">
        <f t="shared" si="16"/>
        <v>0.19313829787234044</v>
      </c>
      <c r="S86" s="17">
        <f>SUM(S80:S85)-5</f>
        <v>30.040000000000006</v>
      </c>
      <c r="T86" s="17">
        <f>SUM(T80:T85)-5</f>
        <v>21.41</v>
      </c>
      <c r="U86" s="17">
        <f>SUM(U80:U85)</f>
        <v>129.84</v>
      </c>
      <c r="V86" s="17">
        <f>SUM(V80:V85)</f>
        <v>84.02861702127659</v>
      </c>
      <c r="W86" s="17">
        <f>SUM(W80:W85)-2</f>
        <v>5.360000000000001</v>
      </c>
      <c r="X86" s="72">
        <f>SUM(X80:X85)-2</f>
        <v>3.887872340425533</v>
      </c>
      <c r="Y86" s="63"/>
      <c r="Z86" s="58"/>
      <c r="AA86" s="58"/>
      <c r="AB86" s="58"/>
      <c r="AC86" s="58"/>
      <c r="AD86" s="53"/>
      <c r="AE86" s="53"/>
    </row>
    <row r="87" spans="1:31" ht="15" customHeight="1">
      <c r="A87" s="22"/>
      <c r="B87" s="91" t="s">
        <v>17</v>
      </c>
      <c r="C87" s="44"/>
      <c r="D87" s="44"/>
      <c r="E87" s="28"/>
      <c r="F87" s="28"/>
      <c r="G87" s="28"/>
      <c r="H87" s="29"/>
      <c r="I87" s="29"/>
      <c r="J87" s="29"/>
      <c r="K87" s="29"/>
      <c r="L87" s="29"/>
      <c r="M87" s="29"/>
      <c r="N87" s="29"/>
      <c r="O87" s="42"/>
      <c r="P87" s="42"/>
      <c r="Q87" s="42"/>
      <c r="R87" s="42"/>
      <c r="S87" s="42"/>
      <c r="T87" s="42"/>
      <c r="U87" s="42"/>
      <c r="V87" s="42"/>
      <c r="W87" s="42"/>
      <c r="X87" s="75"/>
      <c r="Y87" s="54"/>
      <c r="Z87" s="53"/>
      <c r="AA87" s="53"/>
      <c r="AB87" s="53"/>
      <c r="AC87" s="53"/>
      <c r="AD87" s="53"/>
      <c r="AE87" s="53"/>
    </row>
    <row r="88" spans="1:31" ht="15" customHeight="1">
      <c r="A88" s="127" t="s">
        <v>21</v>
      </c>
      <c r="B88" s="23" t="s">
        <v>18</v>
      </c>
      <c r="C88" s="44" t="s">
        <v>29</v>
      </c>
      <c r="D88" s="44" t="s">
        <v>29</v>
      </c>
      <c r="E88" s="28">
        <v>10.36</v>
      </c>
      <c r="F88" s="28">
        <v>10.36</v>
      </c>
      <c r="G88" s="28">
        <v>5.31</v>
      </c>
      <c r="H88" s="29">
        <v>5.31</v>
      </c>
      <c r="I88" s="28">
        <v>4.5</v>
      </c>
      <c r="J88" s="29">
        <v>4.5</v>
      </c>
      <c r="K88" s="28">
        <v>8.91</v>
      </c>
      <c r="L88" s="29">
        <v>8.91</v>
      </c>
      <c r="M88" s="28">
        <v>97.38</v>
      </c>
      <c r="N88" s="29">
        <v>97.38</v>
      </c>
      <c r="O88" s="28">
        <v>0.07</v>
      </c>
      <c r="P88" s="29">
        <v>0.07</v>
      </c>
      <c r="Q88" s="28">
        <v>0.3</v>
      </c>
      <c r="R88" s="29">
        <v>0.3</v>
      </c>
      <c r="S88" s="28">
        <v>2.46</v>
      </c>
      <c r="T88" s="29">
        <v>2.46</v>
      </c>
      <c r="U88" s="28">
        <v>275.74</v>
      </c>
      <c r="V88" s="29">
        <v>275.74</v>
      </c>
      <c r="W88" s="28">
        <v>0.23</v>
      </c>
      <c r="X88" s="29">
        <v>0.23</v>
      </c>
      <c r="Y88" s="57"/>
      <c r="Z88" s="57"/>
      <c r="AA88" s="57"/>
      <c r="AB88" s="57"/>
      <c r="AC88" s="57"/>
      <c r="AD88" s="57"/>
      <c r="AE88" s="53"/>
    </row>
    <row r="89" spans="1:31" ht="15" customHeight="1">
      <c r="A89" s="22"/>
      <c r="B89" s="23" t="s">
        <v>7</v>
      </c>
      <c r="C89" s="44"/>
      <c r="D89" s="44"/>
      <c r="E89" s="17">
        <f>SUM(E88)</f>
        <v>10.36</v>
      </c>
      <c r="F89" s="17">
        <f>SUM(F88)</f>
        <v>10.36</v>
      </c>
      <c r="G89" s="17">
        <f aca="true" t="shared" si="17" ref="G89:T89">SUM(G88)</f>
        <v>5.31</v>
      </c>
      <c r="H89" s="17">
        <f t="shared" si="17"/>
        <v>5.31</v>
      </c>
      <c r="I89" s="17">
        <f t="shared" si="17"/>
        <v>4.5</v>
      </c>
      <c r="J89" s="17">
        <f t="shared" si="17"/>
        <v>4.5</v>
      </c>
      <c r="K89" s="17">
        <f t="shared" si="17"/>
        <v>8.91</v>
      </c>
      <c r="L89" s="17">
        <f t="shared" si="17"/>
        <v>8.91</v>
      </c>
      <c r="M89" s="17">
        <f t="shared" si="17"/>
        <v>97.38</v>
      </c>
      <c r="N89" s="17">
        <f t="shared" si="17"/>
        <v>97.38</v>
      </c>
      <c r="O89" s="17">
        <f t="shared" si="17"/>
        <v>0.07</v>
      </c>
      <c r="P89" s="17">
        <f t="shared" si="17"/>
        <v>0.07</v>
      </c>
      <c r="Q89" s="17">
        <f t="shared" si="17"/>
        <v>0.3</v>
      </c>
      <c r="R89" s="17">
        <f t="shared" si="17"/>
        <v>0.3</v>
      </c>
      <c r="S89" s="17">
        <f t="shared" si="17"/>
        <v>2.46</v>
      </c>
      <c r="T89" s="17">
        <f t="shared" si="17"/>
        <v>2.46</v>
      </c>
      <c r="U89" s="17">
        <f aca="true" t="shared" si="18" ref="U89:AB89">SUM(U88)</f>
        <v>275.74</v>
      </c>
      <c r="V89" s="17">
        <f t="shared" si="18"/>
        <v>275.74</v>
      </c>
      <c r="W89" s="17">
        <f t="shared" si="18"/>
        <v>0.23</v>
      </c>
      <c r="X89" s="17">
        <f t="shared" si="18"/>
        <v>0.23</v>
      </c>
      <c r="Y89" s="17">
        <f t="shared" si="18"/>
        <v>0</v>
      </c>
      <c r="Z89" s="17">
        <f t="shared" si="18"/>
        <v>0</v>
      </c>
      <c r="AA89" s="17">
        <f t="shared" si="18"/>
        <v>0</v>
      </c>
      <c r="AB89" s="17">
        <f t="shared" si="18"/>
        <v>0</v>
      </c>
      <c r="AC89" s="58"/>
      <c r="AD89" s="53"/>
      <c r="AE89" s="53"/>
    </row>
    <row r="90" spans="1:31" ht="15" customHeight="1">
      <c r="A90" s="26"/>
      <c r="B90" s="91" t="s">
        <v>13</v>
      </c>
      <c r="C90" s="44"/>
      <c r="D90" s="44"/>
      <c r="E90" s="28"/>
      <c r="F90" s="28"/>
      <c r="G90" s="28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42"/>
      <c r="U90" s="42"/>
      <c r="V90" s="42"/>
      <c r="W90" s="42"/>
      <c r="X90" s="75"/>
      <c r="Y90" s="54"/>
      <c r="Z90" s="53"/>
      <c r="AA90" s="53"/>
      <c r="AB90" s="53"/>
      <c r="AC90" s="53"/>
      <c r="AD90" s="53"/>
      <c r="AE90" s="53"/>
    </row>
    <row r="91" spans="1:29" ht="15.75" customHeight="1">
      <c r="A91" s="128"/>
      <c r="B91" s="64" t="s">
        <v>165</v>
      </c>
      <c r="C91" s="65" t="s">
        <v>6</v>
      </c>
      <c r="D91" s="65" t="s">
        <v>122</v>
      </c>
      <c r="E91" s="61">
        <v>13.09</v>
      </c>
      <c r="F91" s="61">
        <v>12.22</v>
      </c>
      <c r="G91" s="61">
        <v>0.6</v>
      </c>
      <c r="H91" s="62">
        <v>0.56</v>
      </c>
      <c r="I91" s="61">
        <v>0.45</v>
      </c>
      <c r="J91" s="62">
        <v>0.42</v>
      </c>
      <c r="K91" s="61">
        <v>15.45</v>
      </c>
      <c r="L91" s="62">
        <v>14.42</v>
      </c>
      <c r="M91" s="61">
        <v>70.5</v>
      </c>
      <c r="N91" s="62">
        <v>65.8</v>
      </c>
      <c r="O91" s="61">
        <v>0.02</v>
      </c>
      <c r="P91" s="62">
        <v>0.02</v>
      </c>
      <c r="Q91" s="61">
        <f>R91*160/150</f>
        <v>0.05333333333333334</v>
      </c>
      <c r="R91" s="62">
        <v>0.05</v>
      </c>
      <c r="S91" s="61">
        <v>7.5</v>
      </c>
      <c r="T91" s="62">
        <v>7</v>
      </c>
      <c r="U91" s="28">
        <v>20.69</v>
      </c>
      <c r="V91" s="29">
        <v>0</v>
      </c>
      <c r="W91" s="28">
        <v>0.78</v>
      </c>
      <c r="X91" s="29">
        <v>0</v>
      </c>
      <c r="Y91" s="1"/>
      <c r="Z91" s="57"/>
      <c r="AA91" s="57"/>
      <c r="AB91" s="57"/>
      <c r="AC91" s="57"/>
    </row>
    <row r="92" spans="1:33" s="7" customFormat="1" ht="27" customHeight="1">
      <c r="A92" s="141" t="s">
        <v>118</v>
      </c>
      <c r="B92" s="23" t="s">
        <v>119</v>
      </c>
      <c r="C92" s="44" t="s">
        <v>10</v>
      </c>
      <c r="D92" s="44" t="s">
        <v>10</v>
      </c>
      <c r="E92" s="28">
        <v>23.93</v>
      </c>
      <c r="F92" s="28">
        <v>23.93</v>
      </c>
      <c r="G92" s="28">
        <v>10.72</v>
      </c>
      <c r="H92" s="29">
        <v>10.72</v>
      </c>
      <c r="I92" s="29">
        <v>3.19</v>
      </c>
      <c r="J92" s="29">
        <v>3.19</v>
      </c>
      <c r="K92" s="29">
        <v>2.31</v>
      </c>
      <c r="L92" s="29">
        <v>2.31</v>
      </c>
      <c r="M92" s="29">
        <v>80.82</v>
      </c>
      <c r="N92" s="29">
        <v>80.82</v>
      </c>
      <c r="O92" s="29">
        <v>0.09</v>
      </c>
      <c r="P92" s="29">
        <v>0.09</v>
      </c>
      <c r="Q92" s="29">
        <v>0.1</v>
      </c>
      <c r="R92" s="29">
        <v>0.1</v>
      </c>
      <c r="S92" s="29">
        <v>2.99</v>
      </c>
      <c r="T92" s="29">
        <v>2.99</v>
      </c>
      <c r="U92" s="29">
        <v>23.97</v>
      </c>
      <c r="V92" s="29">
        <v>23.97</v>
      </c>
      <c r="W92" s="29">
        <v>0.61</v>
      </c>
      <c r="X92" s="29">
        <v>0.61</v>
      </c>
      <c r="Y92" s="83"/>
      <c r="Z92" s="83"/>
      <c r="AA92" s="83"/>
      <c r="AB92" s="83"/>
      <c r="AC92" s="83"/>
      <c r="AD92" s="76"/>
      <c r="AE92" s="76"/>
      <c r="AF92" s="76"/>
      <c r="AG92" s="76"/>
    </row>
    <row r="93" spans="1:31" ht="15" customHeight="1">
      <c r="A93" s="127" t="s">
        <v>93</v>
      </c>
      <c r="B93" s="23" t="s">
        <v>94</v>
      </c>
      <c r="C93" s="44" t="s">
        <v>6</v>
      </c>
      <c r="D93" s="44" t="s">
        <v>89</v>
      </c>
      <c r="E93" s="28">
        <v>6.81</v>
      </c>
      <c r="F93" s="28">
        <v>4.54</v>
      </c>
      <c r="G93" s="29">
        <v>3</v>
      </c>
      <c r="H93" s="29">
        <f>G93*100/150</f>
        <v>2</v>
      </c>
      <c r="I93" s="29">
        <v>4.8</v>
      </c>
      <c r="J93" s="29">
        <f>I93*100/150</f>
        <v>3.2</v>
      </c>
      <c r="K93" s="29">
        <v>20.4</v>
      </c>
      <c r="L93" s="29">
        <f>K93*100/150</f>
        <v>13.599999999999998</v>
      </c>
      <c r="M93" s="29">
        <v>140</v>
      </c>
      <c r="N93" s="29">
        <f>M93*100/150</f>
        <v>93.33333333333333</v>
      </c>
      <c r="O93" s="41">
        <v>0.16</v>
      </c>
      <c r="P93" s="41">
        <v>0</v>
      </c>
      <c r="Q93" s="41">
        <v>0.1</v>
      </c>
      <c r="R93" s="41">
        <f>Q93/1.5</f>
        <v>0.06666666666666667</v>
      </c>
      <c r="S93" s="29">
        <v>18.1</v>
      </c>
      <c r="T93" s="29">
        <f>S93*100/150</f>
        <v>12.066666666666668</v>
      </c>
      <c r="U93" s="43">
        <v>42.66</v>
      </c>
      <c r="V93" s="43">
        <v>35.44</v>
      </c>
      <c r="W93" s="43">
        <v>0.19</v>
      </c>
      <c r="X93" s="43">
        <f>W93/1.5</f>
        <v>0.12666666666666668</v>
      </c>
      <c r="Y93" s="53"/>
      <c r="Z93" s="53"/>
      <c r="AA93" s="53"/>
      <c r="AB93" s="53"/>
      <c r="AC93" s="53"/>
      <c r="AD93" s="53"/>
      <c r="AE93" s="53"/>
    </row>
    <row r="94" spans="1:31" ht="15" customHeight="1">
      <c r="A94" s="128" t="s">
        <v>83</v>
      </c>
      <c r="B94" s="67" t="s">
        <v>84</v>
      </c>
      <c r="C94" s="65" t="s">
        <v>5</v>
      </c>
      <c r="D94" s="65" t="s">
        <v>6</v>
      </c>
      <c r="E94" s="61">
        <v>0.55</v>
      </c>
      <c r="F94" s="61">
        <v>0.41</v>
      </c>
      <c r="G94" s="61">
        <v>0.18</v>
      </c>
      <c r="H94" s="62">
        <v>0.13</v>
      </c>
      <c r="I94" s="61">
        <f>J94*200/150</f>
        <v>0</v>
      </c>
      <c r="J94" s="62">
        <v>0</v>
      </c>
      <c r="K94" s="61">
        <v>4.78</v>
      </c>
      <c r="L94" s="62">
        <v>3.58</v>
      </c>
      <c r="M94" s="61">
        <v>19.9</v>
      </c>
      <c r="N94" s="62">
        <v>14.92</v>
      </c>
      <c r="O94" s="61">
        <f>P94*200/150</f>
        <v>0.013333333333333334</v>
      </c>
      <c r="P94" s="69">
        <v>0.01</v>
      </c>
      <c r="Q94" s="61">
        <f>R94*200/150</f>
        <v>0.013333333333333334</v>
      </c>
      <c r="R94" s="69">
        <v>0.01</v>
      </c>
      <c r="S94" s="61">
        <v>0.04</v>
      </c>
      <c r="T94" s="69">
        <v>0.03</v>
      </c>
      <c r="U94" s="61">
        <f>V94*200/150</f>
        <v>5.053333333333334</v>
      </c>
      <c r="V94" s="69">
        <v>3.79</v>
      </c>
      <c r="W94" s="61">
        <f>X94*200/150</f>
        <v>0.84</v>
      </c>
      <c r="X94" s="118">
        <v>0.63</v>
      </c>
      <c r="Y94" s="53"/>
      <c r="Z94" s="53"/>
      <c r="AA94" s="53"/>
      <c r="AB94" s="53"/>
      <c r="AC94" s="53"/>
      <c r="AD94" s="53"/>
      <c r="AE94" s="53"/>
    </row>
    <row r="95" spans="1:31" s="16" customFormat="1" ht="15" customHeight="1">
      <c r="A95" s="127"/>
      <c r="B95" s="23" t="s">
        <v>11</v>
      </c>
      <c r="C95" s="44" t="s">
        <v>14</v>
      </c>
      <c r="D95" s="44" t="s">
        <v>14</v>
      </c>
      <c r="E95" s="28">
        <v>1.11</v>
      </c>
      <c r="F95" s="28">
        <v>1.11</v>
      </c>
      <c r="G95" s="28">
        <v>1.6</v>
      </c>
      <c r="H95" s="28">
        <v>1.6</v>
      </c>
      <c r="I95" s="28">
        <v>0.4</v>
      </c>
      <c r="J95" s="28">
        <v>0.4</v>
      </c>
      <c r="K95" s="28">
        <v>10</v>
      </c>
      <c r="L95" s="28">
        <v>10</v>
      </c>
      <c r="M95" s="29">
        <v>54</v>
      </c>
      <c r="N95" s="29">
        <v>54</v>
      </c>
      <c r="O95" s="43">
        <v>0.04</v>
      </c>
      <c r="P95" s="47">
        <v>0.04</v>
      </c>
      <c r="Q95" s="43">
        <v>0.02</v>
      </c>
      <c r="R95" s="47">
        <v>0.02</v>
      </c>
      <c r="S95" s="43">
        <v>0</v>
      </c>
      <c r="T95" s="47">
        <v>0</v>
      </c>
      <c r="U95" s="43">
        <v>7.4</v>
      </c>
      <c r="V95" s="47">
        <v>7.4</v>
      </c>
      <c r="W95" s="43">
        <v>0.56</v>
      </c>
      <c r="X95" s="47">
        <v>0.56</v>
      </c>
      <c r="Y95" s="56"/>
      <c r="Z95" s="56"/>
      <c r="AA95" s="56"/>
      <c r="AB95" s="56"/>
      <c r="AC95" s="56"/>
      <c r="AD95" s="56"/>
      <c r="AE95" s="56"/>
    </row>
    <row r="96" spans="1:31" ht="15" customHeight="1">
      <c r="A96" s="22"/>
      <c r="B96" s="23" t="s">
        <v>7</v>
      </c>
      <c r="C96" s="44"/>
      <c r="D96" s="44"/>
      <c r="E96" s="17">
        <f>SUM(E91:E95)</f>
        <v>45.489999999999995</v>
      </c>
      <c r="F96" s="17">
        <f>SUM(F91:F95)</f>
        <v>42.209999999999994</v>
      </c>
      <c r="G96" s="17">
        <f aca="true" t="shared" si="19" ref="G96:T96">SUM(G91:G95)</f>
        <v>16.1</v>
      </c>
      <c r="H96" s="17">
        <f t="shared" si="19"/>
        <v>15.010000000000002</v>
      </c>
      <c r="I96" s="17">
        <f t="shared" si="19"/>
        <v>8.84</v>
      </c>
      <c r="J96" s="17">
        <f t="shared" si="19"/>
        <v>7.210000000000001</v>
      </c>
      <c r="K96" s="17">
        <f t="shared" si="19"/>
        <v>52.94</v>
      </c>
      <c r="L96" s="17">
        <f t="shared" si="19"/>
        <v>43.91</v>
      </c>
      <c r="M96" s="17">
        <f t="shared" si="19"/>
        <v>365.21999999999997</v>
      </c>
      <c r="N96" s="17">
        <f t="shared" si="19"/>
        <v>308.87333333333333</v>
      </c>
      <c r="O96" s="17">
        <f t="shared" si="19"/>
        <v>0.3233333333333333</v>
      </c>
      <c r="P96" s="17">
        <f t="shared" si="19"/>
        <v>0.16</v>
      </c>
      <c r="Q96" s="17">
        <f t="shared" si="19"/>
        <v>0.2866666666666667</v>
      </c>
      <c r="R96" s="17">
        <f t="shared" si="19"/>
        <v>0.24666666666666667</v>
      </c>
      <c r="S96" s="17">
        <f t="shared" si="19"/>
        <v>28.630000000000003</v>
      </c>
      <c r="T96" s="17">
        <f t="shared" si="19"/>
        <v>22.08666666666667</v>
      </c>
      <c r="U96" s="17">
        <f>SUM(U91:U95)</f>
        <v>99.77333333333333</v>
      </c>
      <c r="V96" s="17">
        <f>SUM(V91:V95)</f>
        <v>70.6</v>
      </c>
      <c r="W96" s="17">
        <f>SUM(W91:W95)</f>
        <v>2.98</v>
      </c>
      <c r="X96" s="17">
        <f>SUM(X91:X95)</f>
        <v>1.9266666666666667</v>
      </c>
      <c r="Y96" s="72">
        <f>SUM(Y91:Y95)</f>
        <v>0</v>
      </c>
      <c r="Z96" s="58"/>
      <c r="AA96" s="58"/>
      <c r="AB96" s="58"/>
      <c r="AC96" s="58"/>
      <c r="AD96" s="53"/>
      <c r="AE96" s="53"/>
    </row>
    <row r="97" spans="1:31" ht="15" customHeight="1">
      <c r="A97" s="22"/>
      <c r="B97" s="23" t="s">
        <v>15</v>
      </c>
      <c r="C97" s="44"/>
      <c r="D97" s="28"/>
      <c r="E97" s="17">
        <f>E96+E89+E86+E78+E75</f>
        <v>138.39</v>
      </c>
      <c r="F97" s="17">
        <f>F96+F89+F86+F78+F75</f>
        <v>125.08000000000001</v>
      </c>
      <c r="G97" s="17">
        <f aca="true" t="shared" si="20" ref="G97:T97">G96+G89+G86+G78+G75</f>
        <v>78.33</v>
      </c>
      <c r="H97" s="17">
        <f t="shared" si="20"/>
        <v>65.64</v>
      </c>
      <c r="I97" s="17">
        <f t="shared" si="20"/>
        <v>52.93555555555555</v>
      </c>
      <c r="J97" s="17">
        <f t="shared" si="20"/>
        <v>45.666</v>
      </c>
      <c r="K97" s="17">
        <f t="shared" si="20"/>
        <v>246.35999999999999</v>
      </c>
      <c r="L97" s="17">
        <f t="shared" si="20"/>
        <v>202.615</v>
      </c>
      <c r="M97" s="17">
        <f t="shared" si="20"/>
        <v>1810.3422222222223</v>
      </c>
      <c r="N97" s="17">
        <f t="shared" si="20"/>
        <v>1488.6133333333335</v>
      </c>
      <c r="O97" s="17">
        <f t="shared" si="20"/>
        <v>1.2653333333333334</v>
      </c>
      <c r="P97" s="17">
        <f t="shared" si="20"/>
        <v>0.7257978723404257</v>
      </c>
      <c r="Q97" s="17">
        <f t="shared" si="20"/>
        <v>1.5526666666666666</v>
      </c>
      <c r="R97" s="17">
        <f t="shared" si="20"/>
        <v>1.2848049645390072</v>
      </c>
      <c r="S97" s="17">
        <f t="shared" si="20"/>
        <v>63.40000000000001</v>
      </c>
      <c r="T97" s="17">
        <f t="shared" si="20"/>
        <v>47.921666666666674</v>
      </c>
      <c r="U97" s="49">
        <f>U96+U89+U86+U78+U75</f>
        <v>991.7993333333334</v>
      </c>
      <c r="V97" s="17">
        <f>V96+V89+V86+V78+V75</f>
        <v>853.0102836879432</v>
      </c>
      <c r="W97" s="17">
        <f>W96+W89+W86+W78+W75-4</f>
        <v>6.584</v>
      </c>
      <c r="X97" s="72">
        <f>X96+X89+X86+X78+X75-1</f>
        <v>6.475372340425532</v>
      </c>
      <c r="Y97" s="63"/>
      <c r="Z97" s="58"/>
      <c r="AA97" s="58"/>
      <c r="AB97" s="58"/>
      <c r="AC97" s="58"/>
      <c r="AD97" s="53"/>
      <c r="AE97" s="53"/>
    </row>
    <row r="98" spans="1:31" ht="15" customHeight="1">
      <c r="A98" s="22"/>
      <c r="B98" s="90" t="s">
        <v>137</v>
      </c>
      <c r="C98" s="44"/>
      <c r="D98" s="44"/>
      <c r="E98" s="28"/>
      <c r="F98" s="28"/>
      <c r="G98" s="28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42"/>
      <c r="U98" s="42"/>
      <c r="V98" s="42"/>
      <c r="W98" s="42"/>
      <c r="X98" s="75"/>
      <c r="Y98" s="54"/>
      <c r="Z98" s="53"/>
      <c r="AA98" s="53"/>
      <c r="AB98" s="53"/>
      <c r="AC98" s="53"/>
      <c r="AD98" s="124"/>
      <c r="AE98" s="124"/>
    </row>
    <row r="99" spans="1:31" ht="15" customHeight="1">
      <c r="A99" s="22"/>
      <c r="B99" s="91" t="s">
        <v>4</v>
      </c>
      <c r="C99" s="44"/>
      <c r="D99" s="44"/>
      <c r="E99" s="28"/>
      <c r="F99" s="28"/>
      <c r="G99" s="28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42"/>
      <c r="U99" s="42"/>
      <c r="V99" s="42"/>
      <c r="W99" s="42"/>
      <c r="X99" s="75"/>
      <c r="Y99" s="54"/>
      <c r="Z99" s="53"/>
      <c r="AA99" s="53"/>
      <c r="AB99" s="53"/>
      <c r="AC99" s="53"/>
      <c r="AD99" s="53"/>
      <c r="AE99" s="53"/>
    </row>
    <row r="100" spans="1:30" s="1" customFormat="1" ht="14.25" customHeight="1">
      <c r="A100" s="127" t="s">
        <v>63</v>
      </c>
      <c r="B100" s="23" t="s">
        <v>113</v>
      </c>
      <c r="C100" s="44" t="s">
        <v>82</v>
      </c>
      <c r="D100" s="44" t="s">
        <v>82</v>
      </c>
      <c r="E100" s="28">
        <v>4.15</v>
      </c>
      <c r="F100" s="28">
        <v>4.15</v>
      </c>
      <c r="G100" s="28">
        <v>2.9</v>
      </c>
      <c r="H100" s="29">
        <v>2.9</v>
      </c>
      <c r="I100" s="28">
        <v>1.95</v>
      </c>
      <c r="J100" s="29">
        <v>1.95</v>
      </c>
      <c r="K100" s="28">
        <v>10.4</v>
      </c>
      <c r="L100" s="29">
        <v>10.4</v>
      </c>
      <c r="M100" s="28">
        <v>70.75</v>
      </c>
      <c r="N100" s="29">
        <v>70.75</v>
      </c>
      <c r="O100" s="86">
        <v>0.08</v>
      </c>
      <c r="P100" s="86">
        <f>O100*40/60</f>
        <v>0.05333333333333334</v>
      </c>
      <c r="Q100" s="86">
        <v>0.06</v>
      </c>
      <c r="R100" s="86">
        <f>Q100*40/60</f>
        <v>0.04</v>
      </c>
      <c r="S100" s="28">
        <v>0.14</v>
      </c>
      <c r="T100" s="29">
        <v>0.14</v>
      </c>
      <c r="U100" s="29">
        <v>70.8</v>
      </c>
      <c r="V100" s="29">
        <f>U100*40/60</f>
        <v>47.2</v>
      </c>
      <c r="W100" s="29">
        <v>0.81</v>
      </c>
      <c r="X100" s="74">
        <f>W100*40/60</f>
        <v>0.5400000000000001</v>
      </c>
      <c r="Y100" s="59"/>
      <c r="Z100" s="57"/>
      <c r="AA100" s="57"/>
      <c r="AB100" s="57"/>
      <c r="AC100" s="57"/>
      <c r="AD100" s="57"/>
    </row>
    <row r="101" spans="1:31" ht="15" customHeight="1">
      <c r="A101" s="128" t="s">
        <v>59</v>
      </c>
      <c r="B101" s="64" t="s">
        <v>60</v>
      </c>
      <c r="C101" s="65" t="s">
        <v>61</v>
      </c>
      <c r="D101" s="65" t="s">
        <v>61</v>
      </c>
      <c r="E101" s="61">
        <v>4.55</v>
      </c>
      <c r="F101" s="61">
        <v>4.55</v>
      </c>
      <c r="G101" s="61">
        <v>5.1</v>
      </c>
      <c r="H101" s="61">
        <v>5.1</v>
      </c>
      <c r="I101" s="62">
        <v>4.6</v>
      </c>
      <c r="J101" s="62">
        <v>4.6</v>
      </c>
      <c r="K101" s="62">
        <v>0.3</v>
      </c>
      <c r="L101" s="62">
        <v>0.3</v>
      </c>
      <c r="M101" s="62">
        <v>63</v>
      </c>
      <c r="N101" s="62">
        <v>63</v>
      </c>
      <c r="O101" s="71">
        <v>0.03</v>
      </c>
      <c r="P101" s="71">
        <v>0.03</v>
      </c>
      <c r="Q101" s="71">
        <v>0.18</v>
      </c>
      <c r="R101" s="71">
        <v>0.18</v>
      </c>
      <c r="S101" s="71">
        <v>0</v>
      </c>
      <c r="T101" s="71">
        <v>0</v>
      </c>
      <c r="U101" s="71">
        <v>22</v>
      </c>
      <c r="V101" s="71">
        <v>22</v>
      </c>
      <c r="W101" s="71">
        <v>1.08</v>
      </c>
      <c r="X101" s="105">
        <v>1.08</v>
      </c>
      <c r="Y101" s="53"/>
      <c r="Z101" s="53"/>
      <c r="AA101" s="53"/>
      <c r="AB101" s="53"/>
      <c r="AC101" s="53"/>
      <c r="AD101" s="53"/>
      <c r="AE101" s="53"/>
    </row>
    <row r="102" spans="1:24" ht="15" customHeight="1">
      <c r="A102" s="128" t="s">
        <v>78</v>
      </c>
      <c r="B102" s="64" t="s">
        <v>102</v>
      </c>
      <c r="C102" s="106">
        <v>200</v>
      </c>
      <c r="D102" s="106">
        <v>150</v>
      </c>
      <c r="E102" s="61">
        <v>6.95</v>
      </c>
      <c r="F102" s="61">
        <v>5.21</v>
      </c>
      <c r="G102" s="28">
        <v>5.76</v>
      </c>
      <c r="H102" s="28">
        <v>4.32</v>
      </c>
      <c r="I102" s="28">
        <v>6.64</v>
      </c>
      <c r="J102" s="28">
        <v>4.98</v>
      </c>
      <c r="K102" s="28">
        <v>19.28</v>
      </c>
      <c r="L102" s="28">
        <f>K102*150/200</f>
        <v>14.46</v>
      </c>
      <c r="M102" s="28">
        <v>160</v>
      </c>
      <c r="N102" s="28">
        <v>120</v>
      </c>
      <c r="O102" s="29">
        <v>0.09</v>
      </c>
      <c r="P102" s="28">
        <f>O102*150/200</f>
        <v>0.0675</v>
      </c>
      <c r="Q102" s="29">
        <v>0.14</v>
      </c>
      <c r="R102" s="28">
        <f>Q102*150/200</f>
        <v>0.10500000000000002</v>
      </c>
      <c r="S102" s="29">
        <v>0.9</v>
      </c>
      <c r="T102" s="28">
        <v>0.67</v>
      </c>
      <c r="U102" s="62">
        <v>129.32</v>
      </c>
      <c r="V102" s="61">
        <f>U102*150/200</f>
        <v>96.99</v>
      </c>
      <c r="W102" s="62">
        <v>0.42</v>
      </c>
      <c r="X102" s="61">
        <f>W102*150/200</f>
        <v>0.315</v>
      </c>
    </row>
    <row r="103" spans="1:31" ht="15" customHeight="1">
      <c r="A103" s="127" t="s">
        <v>30</v>
      </c>
      <c r="B103" s="23" t="s">
        <v>31</v>
      </c>
      <c r="C103" s="44" t="s">
        <v>29</v>
      </c>
      <c r="D103" s="44" t="s">
        <v>6</v>
      </c>
      <c r="E103" s="28">
        <v>6.02</v>
      </c>
      <c r="F103" s="28">
        <v>5.02</v>
      </c>
      <c r="G103" s="41">
        <v>2.95</v>
      </c>
      <c r="H103" s="41">
        <v>2.46</v>
      </c>
      <c r="I103" s="41">
        <v>3.24</v>
      </c>
      <c r="J103" s="41">
        <v>2.7</v>
      </c>
      <c r="K103" s="41">
        <v>22.82</v>
      </c>
      <c r="L103" s="41">
        <v>19.02</v>
      </c>
      <c r="M103" s="41">
        <v>132.26</v>
      </c>
      <c r="N103" s="29">
        <v>110.22</v>
      </c>
      <c r="O103" s="41">
        <f>P103*180/150</f>
        <v>0.024</v>
      </c>
      <c r="P103" s="45">
        <v>0.02</v>
      </c>
      <c r="Q103" s="41">
        <f>R103*180/150</f>
        <v>0.12</v>
      </c>
      <c r="R103" s="45">
        <v>0.1</v>
      </c>
      <c r="S103" s="41">
        <v>1.43</v>
      </c>
      <c r="T103" s="45">
        <v>1.2</v>
      </c>
      <c r="U103" s="41">
        <f>V103*180/150</f>
        <v>109.58399999999999</v>
      </c>
      <c r="V103" s="45">
        <v>91.32</v>
      </c>
      <c r="W103" s="41">
        <f>X103*180/150</f>
        <v>0.36</v>
      </c>
      <c r="X103" s="45">
        <v>0.3</v>
      </c>
      <c r="Y103" s="53"/>
      <c r="Z103" s="53"/>
      <c r="AA103" s="53"/>
      <c r="AB103" s="53"/>
      <c r="AC103" s="53"/>
      <c r="AD103" s="53"/>
      <c r="AE103" s="53"/>
    </row>
    <row r="104" spans="1:32" ht="15" customHeight="1">
      <c r="A104" s="22"/>
      <c r="B104" s="23" t="s">
        <v>7</v>
      </c>
      <c r="C104" s="44"/>
      <c r="D104" s="44"/>
      <c r="E104" s="17">
        <f>SUM(E100:E103)</f>
        <v>21.669999999999998</v>
      </c>
      <c r="F104" s="17">
        <f>SUM(F100:F103)</f>
        <v>18.93</v>
      </c>
      <c r="G104" s="17">
        <f aca="true" t="shared" si="21" ref="G104:T104">SUM(G100:G103)</f>
        <v>16.71</v>
      </c>
      <c r="H104" s="17">
        <f t="shared" si="21"/>
        <v>14.780000000000001</v>
      </c>
      <c r="I104" s="17">
        <f t="shared" si="21"/>
        <v>16.43</v>
      </c>
      <c r="J104" s="17">
        <f t="shared" si="21"/>
        <v>14.23</v>
      </c>
      <c r="K104" s="17">
        <f t="shared" si="21"/>
        <v>52.800000000000004</v>
      </c>
      <c r="L104" s="17">
        <f t="shared" si="21"/>
        <v>44.18000000000001</v>
      </c>
      <c r="M104" s="17">
        <f t="shared" si="21"/>
        <v>426.01</v>
      </c>
      <c r="N104" s="17">
        <f t="shared" si="21"/>
        <v>363.97</v>
      </c>
      <c r="O104" s="17">
        <f t="shared" si="21"/>
        <v>0.224</v>
      </c>
      <c r="P104" s="17">
        <f t="shared" si="21"/>
        <v>0.17083333333333334</v>
      </c>
      <c r="Q104" s="17">
        <f t="shared" si="21"/>
        <v>0.5</v>
      </c>
      <c r="R104" s="17">
        <f t="shared" si="21"/>
        <v>0.42500000000000004</v>
      </c>
      <c r="S104" s="17">
        <f t="shared" si="21"/>
        <v>2.4699999999999998</v>
      </c>
      <c r="T104" s="17">
        <f t="shared" si="21"/>
        <v>2.01</v>
      </c>
      <c r="U104" s="17">
        <f aca="true" t="shared" si="22" ref="U104:AB104">SUM(U100:U103)</f>
        <v>331.704</v>
      </c>
      <c r="V104" s="17">
        <f t="shared" si="22"/>
        <v>257.51</v>
      </c>
      <c r="W104" s="17">
        <f t="shared" si="22"/>
        <v>2.67</v>
      </c>
      <c r="X104" s="17">
        <f t="shared" si="22"/>
        <v>2.235</v>
      </c>
      <c r="Y104" s="17">
        <f t="shared" si="22"/>
        <v>0</v>
      </c>
      <c r="Z104" s="17">
        <f t="shared" si="22"/>
        <v>0</v>
      </c>
      <c r="AA104" s="17">
        <f t="shared" si="22"/>
        <v>0</v>
      </c>
      <c r="AB104" s="17">
        <f t="shared" si="22"/>
        <v>0</v>
      </c>
      <c r="AC104" s="58"/>
      <c r="AD104" s="58"/>
      <c r="AE104" s="58"/>
      <c r="AF104" s="58"/>
    </row>
    <row r="105" spans="1:32" ht="15" customHeight="1">
      <c r="A105" s="22"/>
      <c r="B105" s="91" t="s">
        <v>16</v>
      </c>
      <c r="C105" s="44"/>
      <c r="D105" s="44"/>
      <c r="E105" s="28"/>
      <c r="F105" s="28"/>
      <c r="G105" s="28"/>
      <c r="H105" s="29"/>
      <c r="I105" s="29"/>
      <c r="J105" s="29"/>
      <c r="K105" s="29"/>
      <c r="L105" s="29"/>
      <c r="M105" s="29"/>
      <c r="N105" s="29"/>
      <c r="O105" s="42"/>
      <c r="P105" s="42"/>
      <c r="Q105" s="42"/>
      <c r="R105" s="42"/>
      <c r="S105" s="42"/>
      <c r="T105" s="42"/>
      <c r="U105" s="42"/>
      <c r="V105" s="42"/>
      <c r="W105" s="42"/>
      <c r="X105" s="75"/>
      <c r="Y105" s="54"/>
      <c r="Z105" s="53"/>
      <c r="AA105" s="53"/>
      <c r="AB105" s="53"/>
      <c r="AC105" s="53"/>
      <c r="AD105" s="53"/>
      <c r="AE105" s="53"/>
      <c r="AF105" s="53"/>
    </row>
    <row r="106" spans="1:30" ht="15" customHeight="1">
      <c r="A106" s="128" t="s">
        <v>23</v>
      </c>
      <c r="B106" s="64" t="s">
        <v>73</v>
      </c>
      <c r="C106" s="65" t="s">
        <v>6</v>
      </c>
      <c r="D106" s="65" t="s">
        <v>106</v>
      </c>
      <c r="E106" s="61">
        <v>12.36</v>
      </c>
      <c r="F106" s="61">
        <v>11.12</v>
      </c>
      <c r="G106" s="66">
        <f>H106*150/135</f>
        <v>4.5</v>
      </c>
      <c r="H106" s="66">
        <v>4.05</v>
      </c>
      <c r="I106" s="66">
        <f>J106*150/135</f>
        <v>3.7555555555555555</v>
      </c>
      <c r="J106" s="66">
        <v>3.38</v>
      </c>
      <c r="K106" s="66">
        <f>L106*150/135</f>
        <v>6</v>
      </c>
      <c r="L106" s="66">
        <v>5.4</v>
      </c>
      <c r="M106" s="66">
        <f>N106*150/135</f>
        <v>75.75555555555557</v>
      </c>
      <c r="N106" s="66">
        <v>68.18</v>
      </c>
      <c r="O106" s="66">
        <f>P106*180/150</f>
        <v>0.06</v>
      </c>
      <c r="P106" s="66">
        <v>0.05</v>
      </c>
      <c r="Q106" s="66">
        <f>R106*180/150</f>
        <v>0.31200000000000006</v>
      </c>
      <c r="R106" s="66">
        <v>0.26</v>
      </c>
      <c r="S106" s="66">
        <f>T106*150/135</f>
        <v>1.1</v>
      </c>
      <c r="T106" s="66">
        <v>0.99</v>
      </c>
      <c r="U106" s="28">
        <v>235.31</v>
      </c>
      <c r="V106" s="29">
        <f>U106*150/180</f>
        <v>196.09166666666667</v>
      </c>
      <c r="W106" s="28">
        <v>0.19</v>
      </c>
      <c r="X106" s="74">
        <f>W106*150/180</f>
        <v>0.15833333333333333</v>
      </c>
      <c r="Y106" s="59"/>
      <c r="Z106" s="57"/>
      <c r="AA106" s="57"/>
      <c r="AB106" s="57"/>
      <c r="AC106" s="57"/>
      <c r="AD106" s="57"/>
    </row>
    <row r="107" spans="1:31" ht="15" customHeight="1">
      <c r="A107" s="22"/>
      <c r="B107" s="23" t="s">
        <v>7</v>
      </c>
      <c r="C107" s="44"/>
      <c r="D107" s="44"/>
      <c r="E107" s="17">
        <f>SUM(E106)</f>
        <v>12.36</v>
      </c>
      <c r="F107" s="17">
        <f>SUM(F106)</f>
        <v>11.12</v>
      </c>
      <c r="G107" s="17">
        <f aca="true" t="shared" si="23" ref="G107:T107">SUM(G106)</f>
        <v>4.5</v>
      </c>
      <c r="H107" s="17">
        <f t="shared" si="23"/>
        <v>4.05</v>
      </c>
      <c r="I107" s="17">
        <f t="shared" si="23"/>
        <v>3.7555555555555555</v>
      </c>
      <c r="J107" s="17">
        <f t="shared" si="23"/>
        <v>3.38</v>
      </c>
      <c r="K107" s="17">
        <f t="shared" si="23"/>
        <v>6</v>
      </c>
      <c r="L107" s="17">
        <f t="shared" si="23"/>
        <v>5.4</v>
      </c>
      <c r="M107" s="17">
        <f t="shared" si="23"/>
        <v>75.75555555555557</v>
      </c>
      <c r="N107" s="17">
        <f t="shared" si="23"/>
        <v>68.18</v>
      </c>
      <c r="O107" s="17">
        <f t="shared" si="23"/>
        <v>0.06</v>
      </c>
      <c r="P107" s="17">
        <f t="shared" si="23"/>
        <v>0.05</v>
      </c>
      <c r="Q107" s="17">
        <f t="shared" si="23"/>
        <v>0.31200000000000006</v>
      </c>
      <c r="R107" s="17">
        <f t="shared" si="23"/>
        <v>0.26</v>
      </c>
      <c r="S107" s="17">
        <f t="shared" si="23"/>
        <v>1.1</v>
      </c>
      <c r="T107" s="17">
        <f t="shared" si="23"/>
        <v>0.99</v>
      </c>
      <c r="U107" s="17">
        <f>SUM(U106)</f>
        <v>235.31</v>
      </c>
      <c r="V107" s="17">
        <f>SUM(V106)</f>
        <v>196.09166666666667</v>
      </c>
      <c r="W107" s="17">
        <f>SUM(W106)</f>
        <v>0.19</v>
      </c>
      <c r="X107" s="17">
        <f>SUM(X106)</f>
        <v>0.15833333333333333</v>
      </c>
      <c r="Y107" s="72">
        <f>SUM(Y106)</f>
        <v>0</v>
      </c>
      <c r="Z107" s="58"/>
      <c r="AA107" s="58"/>
      <c r="AB107" s="58"/>
      <c r="AC107" s="58"/>
      <c r="AD107" s="53"/>
      <c r="AE107" s="53"/>
    </row>
    <row r="108" spans="1:31" ht="15" customHeight="1">
      <c r="A108" s="22"/>
      <c r="B108" s="91" t="s">
        <v>9</v>
      </c>
      <c r="C108" s="44"/>
      <c r="D108" s="44"/>
      <c r="E108" s="28"/>
      <c r="F108" s="28"/>
      <c r="G108" s="28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74"/>
      <c r="Y108" s="54"/>
      <c r="Z108" s="53"/>
      <c r="AA108" s="53"/>
      <c r="AB108" s="53"/>
      <c r="AC108" s="53"/>
      <c r="AD108" s="53"/>
      <c r="AE108" s="53"/>
    </row>
    <row r="109" spans="1:30" ht="21" customHeight="1">
      <c r="A109" s="128" t="s">
        <v>156</v>
      </c>
      <c r="B109" s="23" t="s">
        <v>157</v>
      </c>
      <c r="C109" s="44" t="s">
        <v>28</v>
      </c>
      <c r="D109" s="44" t="s">
        <v>107</v>
      </c>
      <c r="E109" s="28">
        <v>2.89</v>
      </c>
      <c r="F109" s="28">
        <v>2.17</v>
      </c>
      <c r="G109" s="132">
        <v>0.48</v>
      </c>
      <c r="H109" s="85">
        <f>G109*45/60</f>
        <v>0.36</v>
      </c>
      <c r="I109" s="132">
        <v>3</v>
      </c>
      <c r="J109" s="85">
        <f>I109*45/60</f>
        <v>2.25</v>
      </c>
      <c r="K109" s="132">
        <v>4.2</v>
      </c>
      <c r="L109" s="85">
        <f>K109*45/60</f>
        <v>3.15</v>
      </c>
      <c r="M109" s="132">
        <v>48</v>
      </c>
      <c r="N109" s="85">
        <f>M109*45/60</f>
        <v>36</v>
      </c>
      <c r="O109" s="132">
        <v>0.01</v>
      </c>
      <c r="P109" s="85">
        <v>0</v>
      </c>
      <c r="Q109" s="132">
        <v>0.02</v>
      </c>
      <c r="R109" s="85">
        <v>0</v>
      </c>
      <c r="S109" s="132">
        <v>4.15</v>
      </c>
      <c r="T109" s="85">
        <f>S109*45/60</f>
        <v>3.1125000000000003</v>
      </c>
      <c r="U109" s="41">
        <v>5.6</v>
      </c>
      <c r="V109" s="29">
        <f>U109*30/40</f>
        <v>4.2</v>
      </c>
      <c r="W109" s="41">
        <v>0.56</v>
      </c>
      <c r="X109" s="29">
        <f>W109*30/40</f>
        <v>0.42000000000000004</v>
      </c>
      <c r="Y109" s="1"/>
      <c r="Z109" s="57"/>
      <c r="AA109" s="57"/>
      <c r="AB109" s="57"/>
      <c r="AC109" s="57"/>
      <c r="AD109" s="1"/>
    </row>
    <row r="110" spans="1:31" s="7" customFormat="1" ht="38.25">
      <c r="A110" s="127" t="s">
        <v>158</v>
      </c>
      <c r="B110" s="25" t="s">
        <v>159</v>
      </c>
      <c r="C110" s="44" t="s">
        <v>123</v>
      </c>
      <c r="D110" s="44" t="s">
        <v>124</v>
      </c>
      <c r="E110" s="28">
        <v>6.51</v>
      </c>
      <c r="F110" s="28">
        <v>5.11</v>
      </c>
      <c r="G110" s="41">
        <v>1.9</v>
      </c>
      <c r="H110" s="41">
        <v>1.46</v>
      </c>
      <c r="I110" s="41">
        <v>4.35</v>
      </c>
      <c r="J110" s="41">
        <v>3.45</v>
      </c>
      <c r="K110" s="41">
        <v>10.31</v>
      </c>
      <c r="L110" s="41">
        <v>7.77</v>
      </c>
      <c r="M110" s="41">
        <v>88.02</v>
      </c>
      <c r="N110" s="41">
        <v>68.02</v>
      </c>
      <c r="O110" s="29">
        <v>0.1</v>
      </c>
      <c r="P110" s="41">
        <f>O110*163/213</f>
        <v>0.07652582159624413</v>
      </c>
      <c r="Q110" s="29">
        <v>0.05</v>
      </c>
      <c r="R110" s="41">
        <f>Q110*163/213</f>
        <v>0.038262910798122066</v>
      </c>
      <c r="S110" s="29">
        <v>9.85</v>
      </c>
      <c r="T110" s="41">
        <v>7.48</v>
      </c>
      <c r="U110" s="29">
        <v>32.89</v>
      </c>
      <c r="V110" s="41">
        <f>U110*163/213</f>
        <v>25.169342723004693</v>
      </c>
      <c r="W110" s="29">
        <v>1.07</v>
      </c>
      <c r="X110" s="41">
        <f>W110*163/213</f>
        <v>0.8188262910798122</v>
      </c>
      <c r="Z110" s="76"/>
      <c r="AA110" s="76"/>
      <c r="AB110" s="76"/>
      <c r="AC110" s="76"/>
      <c r="AD110" s="76"/>
      <c r="AE110" s="76"/>
    </row>
    <row r="111" spans="1:29" s="7" customFormat="1" ht="15" customHeight="1">
      <c r="A111" s="128" t="s">
        <v>111</v>
      </c>
      <c r="B111" s="64" t="s">
        <v>112</v>
      </c>
      <c r="C111" s="65" t="s">
        <v>10</v>
      </c>
      <c r="D111" s="65" t="s">
        <v>10</v>
      </c>
      <c r="E111" s="61">
        <v>18.3</v>
      </c>
      <c r="F111" s="61">
        <v>18.3</v>
      </c>
      <c r="G111" s="61">
        <v>10</v>
      </c>
      <c r="H111" s="61">
        <v>10</v>
      </c>
      <c r="I111" s="62">
        <v>3</v>
      </c>
      <c r="J111" s="62">
        <v>3</v>
      </c>
      <c r="K111" s="62">
        <v>6</v>
      </c>
      <c r="L111" s="62">
        <v>6</v>
      </c>
      <c r="M111" s="62">
        <v>90</v>
      </c>
      <c r="N111" s="62">
        <v>90</v>
      </c>
      <c r="O111" s="62">
        <v>0.07</v>
      </c>
      <c r="P111" s="62">
        <v>0.07</v>
      </c>
      <c r="Q111" s="62">
        <v>0.09</v>
      </c>
      <c r="R111" s="62">
        <v>0.09</v>
      </c>
      <c r="S111" s="62">
        <v>0.35</v>
      </c>
      <c r="T111" s="62">
        <v>0.35</v>
      </c>
      <c r="U111" s="69">
        <v>5.85</v>
      </c>
      <c r="V111" s="69">
        <v>5.85</v>
      </c>
      <c r="W111" s="69">
        <v>0.85</v>
      </c>
      <c r="X111" s="69">
        <v>0.85</v>
      </c>
      <c r="Z111" s="76"/>
      <c r="AA111" s="76"/>
      <c r="AB111" s="76"/>
      <c r="AC111" s="76"/>
    </row>
    <row r="112" spans="1:31" ht="15" customHeight="1">
      <c r="A112" s="128" t="s">
        <v>27</v>
      </c>
      <c r="B112" s="67" t="s">
        <v>25</v>
      </c>
      <c r="C112" s="65" t="s">
        <v>75</v>
      </c>
      <c r="D112" s="65" t="s">
        <v>89</v>
      </c>
      <c r="E112" s="125">
        <v>3.35</v>
      </c>
      <c r="F112" s="125">
        <v>2.58</v>
      </c>
      <c r="G112" s="62">
        <f>H112*130/100</f>
        <v>4.965999999999999</v>
      </c>
      <c r="H112" s="62">
        <v>3.82</v>
      </c>
      <c r="I112" s="62">
        <f>J112*130/100</f>
        <v>4.407</v>
      </c>
      <c r="J112" s="62">
        <v>3.39</v>
      </c>
      <c r="K112" s="62">
        <f>L112*130/100</f>
        <v>27.026999999999997</v>
      </c>
      <c r="L112" s="62">
        <v>20.79</v>
      </c>
      <c r="M112" s="62">
        <f>N112*130/100</f>
        <v>167.7</v>
      </c>
      <c r="N112" s="62">
        <v>129</v>
      </c>
      <c r="O112" s="66">
        <v>0.09</v>
      </c>
      <c r="P112" s="62">
        <f>O112/1.5</f>
        <v>0.06</v>
      </c>
      <c r="Q112" s="66">
        <v>0.06</v>
      </c>
      <c r="R112" s="62">
        <f>Q112/1.5</f>
        <v>0.04</v>
      </c>
      <c r="S112" s="66">
        <v>0</v>
      </c>
      <c r="T112" s="62">
        <f>S112/1.5</f>
        <v>0</v>
      </c>
      <c r="U112" s="66">
        <v>12.89</v>
      </c>
      <c r="V112" s="62">
        <f>U112/1.5</f>
        <v>8.593333333333334</v>
      </c>
      <c r="W112" s="66">
        <v>0.78</v>
      </c>
      <c r="X112" s="82">
        <f>W112/1.5</f>
        <v>0.52</v>
      </c>
      <c r="Y112" s="53"/>
      <c r="Z112" s="53"/>
      <c r="AA112" s="53"/>
      <c r="AB112" s="53"/>
      <c r="AC112" s="53"/>
      <c r="AD112" s="53"/>
      <c r="AE112" s="53"/>
    </row>
    <row r="113" spans="1:31" ht="27" customHeight="1">
      <c r="A113" s="129" t="s">
        <v>95</v>
      </c>
      <c r="B113" s="110" t="s">
        <v>91</v>
      </c>
      <c r="C113" s="106">
        <v>200</v>
      </c>
      <c r="D113" s="106">
        <v>150</v>
      </c>
      <c r="E113" s="61">
        <v>1.62</v>
      </c>
      <c r="F113" s="61">
        <v>1.22</v>
      </c>
      <c r="G113" s="61">
        <v>0.6</v>
      </c>
      <c r="H113" s="62">
        <f>G113*150/200</f>
        <v>0.45</v>
      </c>
      <c r="I113" s="61">
        <v>0</v>
      </c>
      <c r="J113" s="62">
        <f>I113*150/200</f>
        <v>0</v>
      </c>
      <c r="K113" s="61">
        <v>31.4</v>
      </c>
      <c r="L113" s="62">
        <f>K113*150/200</f>
        <v>23.55</v>
      </c>
      <c r="M113" s="61">
        <v>124</v>
      </c>
      <c r="N113" s="62">
        <f>M113*150/200</f>
        <v>93</v>
      </c>
      <c r="O113" s="62">
        <v>0.02</v>
      </c>
      <c r="P113" s="62">
        <f>O113*150/200</f>
        <v>0.015</v>
      </c>
      <c r="Q113" s="62">
        <v>0.03</v>
      </c>
      <c r="R113" s="62">
        <f>Q113*150/200</f>
        <v>0.0225</v>
      </c>
      <c r="S113" s="62">
        <v>0.45</v>
      </c>
      <c r="T113" s="62">
        <f>S113*150/200</f>
        <v>0.3375</v>
      </c>
      <c r="U113" s="62">
        <v>12.3</v>
      </c>
      <c r="V113" s="62">
        <f>U113*150/200</f>
        <v>9.225</v>
      </c>
      <c r="W113" s="70">
        <v>2</v>
      </c>
      <c r="X113" s="82">
        <f>W113*150/200</f>
        <v>1.5</v>
      </c>
      <c r="Y113" s="53"/>
      <c r="Z113" s="53"/>
      <c r="AA113" s="53"/>
      <c r="AB113" s="53"/>
      <c r="AC113" s="53"/>
      <c r="AD113" s="53"/>
      <c r="AE113" s="53"/>
    </row>
    <row r="114" spans="1:31" s="16" customFormat="1" ht="15" customHeight="1">
      <c r="A114" s="127"/>
      <c r="B114" s="23" t="s">
        <v>11</v>
      </c>
      <c r="C114" s="44" t="s">
        <v>14</v>
      </c>
      <c r="D114" s="44" t="s">
        <v>14</v>
      </c>
      <c r="E114" s="28">
        <v>1.11</v>
      </c>
      <c r="F114" s="28">
        <v>1.11</v>
      </c>
      <c r="G114" s="28">
        <v>1.6</v>
      </c>
      <c r="H114" s="28">
        <v>1.6</v>
      </c>
      <c r="I114" s="28">
        <v>0.4</v>
      </c>
      <c r="J114" s="28">
        <v>0.4</v>
      </c>
      <c r="K114" s="28">
        <v>10</v>
      </c>
      <c r="L114" s="28">
        <v>10</v>
      </c>
      <c r="M114" s="29">
        <v>54</v>
      </c>
      <c r="N114" s="29">
        <v>54</v>
      </c>
      <c r="O114" s="43">
        <v>0.04</v>
      </c>
      <c r="P114" s="47">
        <v>0.04</v>
      </c>
      <c r="Q114" s="43">
        <v>0.02</v>
      </c>
      <c r="R114" s="47">
        <v>0.02</v>
      </c>
      <c r="S114" s="43">
        <v>0</v>
      </c>
      <c r="T114" s="47">
        <v>0</v>
      </c>
      <c r="U114" s="43">
        <v>7.4</v>
      </c>
      <c r="V114" s="47">
        <v>7.4</v>
      </c>
      <c r="W114" s="43">
        <v>0.56</v>
      </c>
      <c r="X114" s="47">
        <v>0.56</v>
      </c>
      <c r="Y114" s="56"/>
      <c r="Z114" s="56"/>
      <c r="AA114" s="56"/>
      <c r="AB114" s="56"/>
      <c r="AC114" s="56"/>
      <c r="AD114" s="56"/>
      <c r="AE114" s="56"/>
    </row>
    <row r="115" spans="1:31" ht="15" customHeight="1">
      <c r="A115" s="127"/>
      <c r="B115" s="23" t="s">
        <v>46</v>
      </c>
      <c r="C115" s="44" t="s">
        <v>76</v>
      </c>
      <c r="D115" s="44" t="s">
        <v>77</v>
      </c>
      <c r="E115" s="28">
        <v>2.09</v>
      </c>
      <c r="F115" s="28">
        <v>1.83</v>
      </c>
      <c r="G115" s="28">
        <v>3.25</v>
      </c>
      <c r="H115" s="29">
        <v>2.84</v>
      </c>
      <c r="I115" s="29">
        <v>0.46</v>
      </c>
      <c r="J115" s="29">
        <f>I115*40.6/46</f>
        <v>0.406</v>
      </c>
      <c r="K115" s="29">
        <v>20.88</v>
      </c>
      <c r="L115" s="29">
        <v>18.27</v>
      </c>
      <c r="M115" s="29">
        <v>102.08</v>
      </c>
      <c r="N115" s="29">
        <v>89.32</v>
      </c>
      <c r="O115" s="41">
        <v>0.06</v>
      </c>
      <c r="P115" s="45">
        <v>0.04</v>
      </c>
      <c r="Q115" s="41">
        <v>0.04</v>
      </c>
      <c r="R115" s="45">
        <v>0.03</v>
      </c>
      <c r="S115" s="41">
        <v>0</v>
      </c>
      <c r="T115" s="29">
        <f>S115*40.6/46</f>
        <v>0</v>
      </c>
      <c r="U115" s="43">
        <v>17</v>
      </c>
      <c r="V115" s="47">
        <v>13.6</v>
      </c>
      <c r="W115" s="43">
        <v>1.15</v>
      </c>
      <c r="X115" s="47">
        <v>0.92</v>
      </c>
      <c r="Y115" s="53"/>
      <c r="Z115" s="53"/>
      <c r="AA115" s="53"/>
      <c r="AB115" s="53"/>
      <c r="AC115" s="53"/>
      <c r="AD115" s="53"/>
      <c r="AE115" s="53"/>
    </row>
    <row r="116" spans="1:31" ht="15" customHeight="1">
      <c r="A116" s="22"/>
      <c r="B116" s="23" t="s">
        <v>7</v>
      </c>
      <c r="C116" s="44"/>
      <c r="D116" s="44"/>
      <c r="E116" s="17">
        <f>SUM(E109:E115)</f>
        <v>35.870000000000005</v>
      </c>
      <c r="F116" s="17">
        <f>SUM(F109:F115)</f>
        <v>32.32</v>
      </c>
      <c r="G116" s="17">
        <f aca="true" t="shared" si="24" ref="G116:T116">SUM(G109:G115)</f>
        <v>22.796</v>
      </c>
      <c r="H116" s="17">
        <f t="shared" si="24"/>
        <v>20.53</v>
      </c>
      <c r="I116" s="17">
        <f>SUM(I109:I115)+3</f>
        <v>18.617</v>
      </c>
      <c r="J116" s="17">
        <f>SUM(J109:J115)+0</f>
        <v>12.896</v>
      </c>
      <c r="K116" s="17">
        <f t="shared" si="24"/>
        <v>109.817</v>
      </c>
      <c r="L116" s="17">
        <f t="shared" si="24"/>
        <v>89.53</v>
      </c>
      <c r="M116" s="17">
        <f>SUM(M109:M115)-0</f>
        <v>673.8000000000001</v>
      </c>
      <c r="N116" s="17">
        <f>SUM(N109:N115)-29</f>
        <v>530.3399999999999</v>
      </c>
      <c r="O116" s="17">
        <f t="shared" si="24"/>
        <v>0.39</v>
      </c>
      <c r="P116" s="17">
        <f t="shared" si="24"/>
        <v>0.3015258215962441</v>
      </c>
      <c r="Q116" s="17">
        <f t="shared" si="24"/>
        <v>0.31</v>
      </c>
      <c r="R116" s="17">
        <f t="shared" si="24"/>
        <v>0.24076291079812207</v>
      </c>
      <c r="S116" s="17">
        <f t="shared" si="24"/>
        <v>14.799999999999999</v>
      </c>
      <c r="T116" s="17">
        <f t="shared" si="24"/>
        <v>11.280000000000001</v>
      </c>
      <c r="U116" s="17">
        <f>SUM(U109:U115)</f>
        <v>93.93</v>
      </c>
      <c r="V116" s="17">
        <f>SUM(V109:V115)</f>
        <v>74.03767605633803</v>
      </c>
      <c r="W116" s="17">
        <f>SUM(W109:W115)</f>
        <v>6.970000000000001</v>
      </c>
      <c r="X116" s="17">
        <f>SUM(X109:X115)</f>
        <v>5.588826291079812</v>
      </c>
      <c r="Y116" s="72">
        <f>SUM(Y109:Y115)</f>
        <v>0</v>
      </c>
      <c r="Z116" s="58"/>
      <c r="AA116" s="58"/>
      <c r="AB116" s="58"/>
      <c r="AC116" s="58"/>
      <c r="AD116" s="53"/>
      <c r="AE116" s="53"/>
    </row>
    <row r="117" spans="1:31" ht="15" customHeight="1">
      <c r="A117" s="22"/>
      <c r="B117" s="91" t="s">
        <v>12</v>
      </c>
      <c r="C117" s="44"/>
      <c r="D117" s="44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42"/>
      <c r="P117" s="42"/>
      <c r="Q117" s="42"/>
      <c r="R117" s="42"/>
      <c r="S117" s="42"/>
      <c r="T117" s="42"/>
      <c r="U117" s="42"/>
      <c r="V117" s="42"/>
      <c r="W117" s="42"/>
      <c r="X117" s="75"/>
      <c r="Y117" s="54"/>
      <c r="Z117" s="53"/>
      <c r="AA117" s="53"/>
      <c r="AB117" s="53"/>
      <c r="AC117" s="53"/>
      <c r="AD117" s="53"/>
      <c r="AE117" s="53"/>
    </row>
    <row r="118" spans="1:31" ht="15" customHeight="1">
      <c r="A118" s="127" t="s">
        <v>21</v>
      </c>
      <c r="B118" s="23" t="s">
        <v>18</v>
      </c>
      <c r="C118" s="44" t="s">
        <v>29</v>
      </c>
      <c r="D118" s="44" t="s">
        <v>29</v>
      </c>
      <c r="E118" s="28">
        <v>10.36</v>
      </c>
      <c r="F118" s="28">
        <v>10.36</v>
      </c>
      <c r="G118" s="28">
        <v>5.31</v>
      </c>
      <c r="H118" s="29">
        <v>5.31</v>
      </c>
      <c r="I118" s="28">
        <v>4.5</v>
      </c>
      <c r="J118" s="29">
        <v>4.5</v>
      </c>
      <c r="K118" s="28">
        <v>8.91</v>
      </c>
      <c r="L118" s="29">
        <v>8.91</v>
      </c>
      <c r="M118" s="28">
        <v>97.38</v>
      </c>
      <c r="N118" s="29">
        <v>97.38</v>
      </c>
      <c r="O118" s="28">
        <v>0.07</v>
      </c>
      <c r="P118" s="29">
        <v>0.07</v>
      </c>
      <c r="Q118" s="28">
        <v>0.3</v>
      </c>
      <c r="R118" s="29">
        <v>0.3</v>
      </c>
      <c r="S118" s="28">
        <v>2.46</v>
      </c>
      <c r="T118" s="29">
        <v>2.46</v>
      </c>
      <c r="U118" s="28">
        <v>275.74</v>
      </c>
      <c r="V118" s="29">
        <v>275.74</v>
      </c>
      <c r="W118" s="28">
        <v>0.23</v>
      </c>
      <c r="X118" s="29">
        <v>0.23</v>
      </c>
      <c r="Y118" s="57"/>
      <c r="Z118" s="57"/>
      <c r="AA118" s="57"/>
      <c r="AB118" s="57"/>
      <c r="AC118" s="57"/>
      <c r="AD118" s="57"/>
      <c r="AE118" s="53"/>
    </row>
    <row r="119" spans="1:31" ht="12.75">
      <c r="A119" s="130" t="s">
        <v>116</v>
      </c>
      <c r="B119" s="9" t="s">
        <v>117</v>
      </c>
      <c r="C119" s="44" t="s">
        <v>92</v>
      </c>
      <c r="D119" s="44" t="s">
        <v>92</v>
      </c>
      <c r="E119" s="28">
        <v>1.04</v>
      </c>
      <c r="F119" s="28">
        <v>1.04</v>
      </c>
      <c r="G119" s="28">
        <v>3.04</v>
      </c>
      <c r="H119" s="29">
        <v>3.04</v>
      </c>
      <c r="I119" s="28">
        <v>2.19</v>
      </c>
      <c r="J119" s="29">
        <v>2.19</v>
      </c>
      <c r="K119" s="28">
        <v>19.54</v>
      </c>
      <c r="L119" s="29">
        <v>19.54</v>
      </c>
      <c r="M119" s="28">
        <v>110.1</v>
      </c>
      <c r="N119" s="29">
        <v>110.1</v>
      </c>
      <c r="O119" s="28"/>
      <c r="P119" s="29"/>
      <c r="Q119" s="28"/>
      <c r="R119" s="29"/>
      <c r="S119" s="28">
        <v>0</v>
      </c>
      <c r="T119" s="29">
        <v>0</v>
      </c>
      <c r="U119" s="119"/>
      <c r="V119" s="96"/>
      <c r="W119" s="119"/>
      <c r="X119" s="120"/>
      <c r="Y119" s="57"/>
      <c r="Z119" s="57"/>
      <c r="AA119" s="57"/>
      <c r="AB119" s="57"/>
      <c r="AC119" s="57"/>
      <c r="AD119" s="57"/>
      <c r="AE119" s="53"/>
    </row>
    <row r="120" spans="1:32" ht="15" customHeight="1">
      <c r="A120" s="60"/>
      <c r="B120" s="64" t="s">
        <v>7</v>
      </c>
      <c r="C120" s="114"/>
      <c r="D120" s="114"/>
      <c r="E120" s="121">
        <f>SUM(E118:E119)</f>
        <v>11.399999999999999</v>
      </c>
      <c r="F120" s="121">
        <f>SUM(F118:F119)</f>
        <v>11.399999999999999</v>
      </c>
      <c r="G120" s="121">
        <f aca="true" t="shared" si="25" ref="G120:T120">SUM(G118:G119)</f>
        <v>8.35</v>
      </c>
      <c r="H120" s="121">
        <f t="shared" si="25"/>
        <v>8.35</v>
      </c>
      <c r="I120" s="121">
        <f t="shared" si="25"/>
        <v>6.6899999999999995</v>
      </c>
      <c r="J120" s="121">
        <f t="shared" si="25"/>
        <v>6.6899999999999995</v>
      </c>
      <c r="K120" s="121">
        <f t="shared" si="25"/>
        <v>28.45</v>
      </c>
      <c r="L120" s="121">
        <f t="shared" si="25"/>
        <v>28.45</v>
      </c>
      <c r="M120" s="121">
        <f t="shared" si="25"/>
        <v>207.48</v>
      </c>
      <c r="N120" s="121">
        <f t="shared" si="25"/>
        <v>207.48</v>
      </c>
      <c r="O120" s="121">
        <f t="shared" si="25"/>
        <v>0.07</v>
      </c>
      <c r="P120" s="121">
        <f t="shared" si="25"/>
        <v>0.07</v>
      </c>
      <c r="Q120" s="121">
        <f t="shared" si="25"/>
        <v>0.3</v>
      </c>
      <c r="R120" s="121">
        <f t="shared" si="25"/>
        <v>0.3</v>
      </c>
      <c r="S120" s="121">
        <f t="shared" si="25"/>
        <v>2.46</v>
      </c>
      <c r="T120" s="121">
        <f t="shared" si="25"/>
        <v>2.46</v>
      </c>
      <c r="U120" s="81">
        <f>SUM(U118:U118)</f>
        <v>275.74</v>
      </c>
      <c r="V120" s="81">
        <f>SUM(V118:V118)</f>
        <v>275.74</v>
      </c>
      <c r="W120" s="81">
        <f>SUM(W118:W118)</f>
        <v>0.23</v>
      </c>
      <c r="X120" s="122">
        <f>SUM(X118:X118)</f>
        <v>0.23</v>
      </c>
      <c r="Y120" s="58"/>
      <c r="Z120" s="58"/>
      <c r="AA120" s="58"/>
      <c r="AB120" s="58"/>
      <c r="AC120" s="58"/>
      <c r="AD120" s="53"/>
      <c r="AE120" s="53"/>
      <c r="AF120" s="53"/>
    </row>
    <row r="121" spans="1:31" ht="15" customHeight="1">
      <c r="A121" s="22"/>
      <c r="B121" s="91" t="s">
        <v>13</v>
      </c>
      <c r="C121" s="44"/>
      <c r="D121" s="44"/>
      <c r="E121" s="28"/>
      <c r="F121" s="28"/>
      <c r="G121" s="28"/>
      <c r="H121" s="29"/>
      <c r="I121" s="29"/>
      <c r="J121" s="29"/>
      <c r="K121" s="29"/>
      <c r="L121" s="29"/>
      <c r="M121" s="29"/>
      <c r="N121" s="29"/>
      <c r="O121" s="42"/>
      <c r="P121" s="42"/>
      <c r="Q121" s="42"/>
      <c r="R121" s="42"/>
      <c r="S121" s="42"/>
      <c r="T121" s="42"/>
      <c r="U121" s="42"/>
      <c r="V121" s="42"/>
      <c r="W121" s="42"/>
      <c r="X121" s="75"/>
      <c r="Y121" s="54"/>
      <c r="Z121" s="53"/>
      <c r="AA121" s="53"/>
      <c r="AB121" s="53"/>
      <c r="AC121" s="53"/>
      <c r="AD121" s="53"/>
      <c r="AE121" s="53"/>
    </row>
    <row r="122" spans="1:33" ht="15" customHeight="1">
      <c r="A122" s="128"/>
      <c r="B122" s="64" t="s">
        <v>104</v>
      </c>
      <c r="C122" s="65" t="s">
        <v>6</v>
      </c>
      <c r="D122" s="65" t="s">
        <v>169</v>
      </c>
      <c r="E122" s="61">
        <v>14.04</v>
      </c>
      <c r="F122" s="61">
        <v>12.92</v>
      </c>
      <c r="G122" s="61">
        <v>1.35</v>
      </c>
      <c r="H122" s="62">
        <f>G122*138/150</f>
        <v>1.242</v>
      </c>
      <c r="I122" s="61">
        <v>0</v>
      </c>
      <c r="J122" s="62">
        <v>0</v>
      </c>
      <c r="K122" s="61">
        <v>12.15</v>
      </c>
      <c r="L122" s="62">
        <f>K122*138/150</f>
        <v>11.178</v>
      </c>
      <c r="M122" s="61">
        <v>64.5</v>
      </c>
      <c r="N122" s="62">
        <f>M122*138/150</f>
        <v>59.34</v>
      </c>
      <c r="O122" s="61">
        <v>0.02</v>
      </c>
      <c r="P122" s="62">
        <v>0.02</v>
      </c>
      <c r="Q122" s="61">
        <f>R122*160/150</f>
        <v>0.05333333333333334</v>
      </c>
      <c r="R122" s="62">
        <v>0.05</v>
      </c>
      <c r="S122" s="61">
        <v>23</v>
      </c>
      <c r="T122" s="62">
        <f>S122*138/150</f>
        <v>21.16</v>
      </c>
      <c r="U122" s="61">
        <v>24</v>
      </c>
      <c r="V122" s="62">
        <v>24</v>
      </c>
      <c r="W122" s="61">
        <v>3.3</v>
      </c>
      <c r="X122" s="70">
        <v>3.3</v>
      </c>
      <c r="Y122" s="54"/>
      <c r="Z122" s="57"/>
      <c r="AA122" s="57"/>
      <c r="AB122" s="57"/>
      <c r="AC122" s="53"/>
      <c r="AD122" s="53"/>
      <c r="AE122" s="53"/>
      <c r="AF122" s="53"/>
      <c r="AG122" s="53"/>
    </row>
    <row r="123" spans="1:29" ht="15.75" customHeight="1">
      <c r="A123" s="128" t="s">
        <v>160</v>
      </c>
      <c r="B123" s="67" t="s">
        <v>161</v>
      </c>
      <c r="C123" s="65" t="s">
        <v>5</v>
      </c>
      <c r="D123" s="65" t="s">
        <v>6</v>
      </c>
      <c r="E123" s="78">
        <v>7.52</v>
      </c>
      <c r="F123" s="61">
        <v>5.64</v>
      </c>
      <c r="G123" s="62">
        <v>2.4</v>
      </c>
      <c r="H123" s="62">
        <f>G123*150/200</f>
        <v>1.8</v>
      </c>
      <c r="I123" s="62">
        <v>7.68</v>
      </c>
      <c r="J123" s="62">
        <f>I123*150/200</f>
        <v>5.76</v>
      </c>
      <c r="K123" s="62">
        <v>14.8</v>
      </c>
      <c r="L123" s="62">
        <f>K123*150/200</f>
        <v>11.1</v>
      </c>
      <c r="M123" s="62">
        <v>137.87</v>
      </c>
      <c r="N123" s="62">
        <f>M123*150/200</f>
        <v>103.4025</v>
      </c>
      <c r="O123" s="66">
        <v>0</v>
      </c>
      <c r="P123" s="68">
        <v>0.1</v>
      </c>
      <c r="Q123" s="66">
        <v>0.09</v>
      </c>
      <c r="R123" s="68">
        <v>0.06</v>
      </c>
      <c r="S123" s="62">
        <v>10.93</v>
      </c>
      <c r="T123" s="62">
        <f>S123*150/200</f>
        <v>8.1975</v>
      </c>
      <c r="U123" s="62">
        <f>V123*130/100</f>
        <v>11.973000000000003</v>
      </c>
      <c r="V123" s="62">
        <v>9.21</v>
      </c>
      <c r="W123" s="62">
        <f>X123*130/100</f>
        <v>0.9620000000000001</v>
      </c>
      <c r="X123" s="62">
        <v>0.74</v>
      </c>
      <c r="Y123" s="111"/>
      <c r="Z123" s="112"/>
      <c r="AA123" s="112"/>
      <c r="AB123" s="112"/>
      <c r="AC123" s="53"/>
    </row>
    <row r="124" spans="1:31" ht="15" customHeight="1">
      <c r="A124" s="128" t="s">
        <v>83</v>
      </c>
      <c r="B124" s="67" t="s">
        <v>84</v>
      </c>
      <c r="C124" s="65" t="s">
        <v>5</v>
      </c>
      <c r="D124" s="65" t="s">
        <v>6</v>
      </c>
      <c r="E124" s="61">
        <v>0.55</v>
      </c>
      <c r="F124" s="61">
        <v>0.41</v>
      </c>
      <c r="G124" s="61">
        <v>0.18</v>
      </c>
      <c r="H124" s="62">
        <v>0.13</v>
      </c>
      <c r="I124" s="61">
        <f>J124*200/150</f>
        <v>0</v>
      </c>
      <c r="J124" s="62">
        <v>0</v>
      </c>
      <c r="K124" s="61">
        <v>4.78</v>
      </c>
      <c r="L124" s="62">
        <v>3.58</v>
      </c>
      <c r="M124" s="61">
        <v>19.9</v>
      </c>
      <c r="N124" s="62">
        <v>14.92</v>
      </c>
      <c r="O124" s="61">
        <f>P124*200/150</f>
        <v>0.013333333333333334</v>
      </c>
      <c r="P124" s="69">
        <v>0.01</v>
      </c>
      <c r="Q124" s="61">
        <f>R124*200/150</f>
        <v>0.013333333333333334</v>
      </c>
      <c r="R124" s="69">
        <v>0.01</v>
      </c>
      <c r="S124" s="61">
        <v>0.04</v>
      </c>
      <c r="T124" s="69">
        <v>0.03</v>
      </c>
      <c r="U124" s="61">
        <f>V124*200/150</f>
        <v>5.053333333333334</v>
      </c>
      <c r="V124" s="69">
        <v>3.79</v>
      </c>
      <c r="W124" s="61">
        <f>X124*200/150</f>
        <v>0.84</v>
      </c>
      <c r="X124" s="118">
        <v>0.63</v>
      </c>
      <c r="Y124" s="53"/>
      <c r="Z124" s="53"/>
      <c r="AA124" s="53"/>
      <c r="AB124" s="53"/>
      <c r="AC124" s="53"/>
      <c r="AD124" s="53"/>
      <c r="AE124" s="53"/>
    </row>
    <row r="125" spans="1:31" s="16" customFormat="1" ht="15" customHeight="1">
      <c r="A125" s="127"/>
      <c r="B125" s="23" t="s">
        <v>11</v>
      </c>
      <c r="C125" s="44" t="s">
        <v>14</v>
      </c>
      <c r="D125" s="44" t="s">
        <v>14</v>
      </c>
      <c r="E125" s="28">
        <v>1.11</v>
      </c>
      <c r="F125" s="28">
        <v>1.11</v>
      </c>
      <c r="G125" s="28">
        <v>1.6</v>
      </c>
      <c r="H125" s="28">
        <v>1.6</v>
      </c>
      <c r="I125" s="28">
        <v>0.4</v>
      </c>
      <c r="J125" s="28">
        <v>0.4</v>
      </c>
      <c r="K125" s="28">
        <v>10</v>
      </c>
      <c r="L125" s="28">
        <v>10</v>
      </c>
      <c r="M125" s="29">
        <v>54</v>
      </c>
      <c r="N125" s="29">
        <v>54</v>
      </c>
      <c r="O125" s="43">
        <v>0.04</v>
      </c>
      <c r="P125" s="47">
        <v>0.04</v>
      </c>
      <c r="Q125" s="43">
        <v>0.02</v>
      </c>
      <c r="R125" s="47">
        <v>0.02</v>
      </c>
      <c r="S125" s="43">
        <v>0</v>
      </c>
      <c r="T125" s="47">
        <v>0</v>
      </c>
      <c r="U125" s="43">
        <v>7.4</v>
      </c>
      <c r="V125" s="47">
        <v>7.4</v>
      </c>
      <c r="W125" s="43">
        <v>0.56</v>
      </c>
      <c r="X125" s="47">
        <v>0.56</v>
      </c>
      <c r="Y125" s="56"/>
      <c r="Z125" s="56"/>
      <c r="AA125" s="56"/>
      <c r="AB125" s="56"/>
      <c r="AC125" s="56"/>
      <c r="AD125" s="56"/>
      <c r="AE125" s="56"/>
    </row>
    <row r="126" spans="1:31" ht="15" customHeight="1">
      <c r="A126" s="22"/>
      <c r="B126" s="23" t="s">
        <v>7</v>
      </c>
      <c r="C126" s="44"/>
      <c r="D126" s="44"/>
      <c r="E126" s="17">
        <f>SUM(E122:E125)</f>
        <v>23.22</v>
      </c>
      <c r="F126" s="17">
        <f>SUM(F122:F125)</f>
        <v>20.08</v>
      </c>
      <c r="G126" s="17">
        <f aca="true" t="shared" si="26" ref="G126:T126">SUM(G122:G125)</f>
        <v>5.53</v>
      </c>
      <c r="H126" s="17">
        <f t="shared" si="26"/>
        <v>4.772</v>
      </c>
      <c r="I126" s="17">
        <f t="shared" si="26"/>
        <v>8.08</v>
      </c>
      <c r="J126" s="17">
        <f t="shared" si="26"/>
        <v>6.16</v>
      </c>
      <c r="K126" s="17">
        <f t="shared" si="26"/>
        <v>41.730000000000004</v>
      </c>
      <c r="L126" s="17">
        <f t="shared" si="26"/>
        <v>35.858</v>
      </c>
      <c r="M126" s="17">
        <f t="shared" si="26"/>
        <v>276.27</v>
      </c>
      <c r="N126" s="17">
        <f t="shared" si="26"/>
        <v>231.6625</v>
      </c>
      <c r="O126" s="17">
        <f t="shared" si="26"/>
        <v>0.07333333333333333</v>
      </c>
      <c r="P126" s="17">
        <f t="shared" si="26"/>
        <v>0.17</v>
      </c>
      <c r="Q126" s="17">
        <f t="shared" si="26"/>
        <v>0.17666666666666667</v>
      </c>
      <c r="R126" s="17">
        <f t="shared" si="26"/>
        <v>0.13999999999999999</v>
      </c>
      <c r="S126" s="17">
        <f t="shared" si="26"/>
        <v>33.97</v>
      </c>
      <c r="T126" s="17">
        <f t="shared" si="26"/>
        <v>29.387500000000003</v>
      </c>
      <c r="U126" s="17">
        <f>SUM(U122:U125)</f>
        <v>48.42633333333333</v>
      </c>
      <c r="V126" s="17">
        <f>SUM(V122:V125)</f>
        <v>44.4</v>
      </c>
      <c r="W126" s="17">
        <f>SUM(W122:W125)</f>
        <v>5.661999999999999</v>
      </c>
      <c r="X126" s="17">
        <f>SUM(X122:X125)</f>
        <v>5.23</v>
      </c>
      <c r="Y126" s="72">
        <f>SUM(Y122:Y125)</f>
        <v>0</v>
      </c>
      <c r="Z126" s="58"/>
      <c r="AA126" s="58"/>
      <c r="AB126" s="58"/>
      <c r="AC126" s="58"/>
      <c r="AD126" s="136"/>
      <c r="AE126" s="136"/>
    </row>
    <row r="127" spans="1:31" ht="15" customHeight="1">
      <c r="A127" s="22"/>
      <c r="B127" s="23" t="s">
        <v>15</v>
      </c>
      <c r="C127" s="44"/>
      <c r="D127" s="44"/>
      <c r="E127" s="17">
        <f>E126+E120+E116+E107+E104</f>
        <v>104.52000000000001</v>
      </c>
      <c r="F127" s="17">
        <f>F126+F120+F116+F107+F104</f>
        <v>93.85</v>
      </c>
      <c r="G127" s="17">
        <f aca="true" t="shared" si="27" ref="G127:T127">G126+G120+G116+G107+G104</f>
        <v>57.886</v>
      </c>
      <c r="H127" s="17">
        <f t="shared" si="27"/>
        <v>52.482</v>
      </c>
      <c r="I127" s="17">
        <f t="shared" si="27"/>
        <v>53.57255555555555</v>
      </c>
      <c r="J127" s="17">
        <f t="shared" si="27"/>
        <v>43.356</v>
      </c>
      <c r="K127" s="17">
        <f t="shared" si="27"/>
        <v>238.79700000000003</v>
      </c>
      <c r="L127" s="17">
        <f t="shared" si="27"/>
        <v>203.418</v>
      </c>
      <c r="M127" s="17">
        <f t="shared" si="27"/>
        <v>1659.3155555555556</v>
      </c>
      <c r="N127" s="17">
        <f t="shared" si="27"/>
        <v>1401.6325</v>
      </c>
      <c r="O127" s="17">
        <f t="shared" si="27"/>
        <v>0.8173333333333332</v>
      </c>
      <c r="P127" s="17">
        <f t="shared" si="27"/>
        <v>0.7623591549295774</v>
      </c>
      <c r="Q127" s="17">
        <f t="shared" si="27"/>
        <v>1.5986666666666667</v>
      </c>
      <c r="R127" s="17">
        <f t="shared" si="27"/>
        <v>1.365762910798122</v>
      </c>
      <c r="S127" s="17">
        <f t="shared" si="27"/>
        <v>54.8</v>
      </c>
      <c r="T127" s="17">
        <f t="shared" si="27"/>
        <v>46.127500000000005</v>
      </c>
      <c r="U127" s="17">
        <f>U126+U120+U116+U107+U104</f>
        <v>985.1103333333333</v>
      </c>
      <c r="V127" s="17">
        <f>V126+V120+V116+V107+V104</f>
        <v>847.7793427230047</v>
      </c>
      <c r="W127" s="17">
        <f>W126+W120+W116+W107+W104</f>
        <v>15.722</v>
      </c>
      <c r="X127" s="17">
        <f>X126+X120+X116+X107+X104</f>
        <v>13.442159624413145</v>
      </c>
      <c r="Y127" s="72">
        <f>Y126+Y120+Y116+Y107+Y104</f>
        <v>0</v>
      </c>
      <c r="Z127" s="58"/>
      <c r="AA127" s="58"/>
      <c r="AB127" s="58"/>
      <c r="AC127" s="58"/>
      <c r="AD127" s="137"/>
      <c r="AE127" s="137"/>
    </row>
    <row r="128" spans="1:31" ht="15" customHeight="1">
      <c r="A128" s="27"/>
      <c r="B128" s="9"/>
      <c r="C128" s="10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6"/>
      <c r="Y128" s="54"/>
      <c r="Z128" s="53"/>
      <c r="AA128" s="53"/>
      <c r="AB128" s="53"/>
      <c r="AC128" s="53"/>
      <c r="AD128" s="53"/>
      <c r="AE128" s="53"/>
    </row>
    <row r="129" spans="1:31" ht="15" customHeight="1">
      <c r="A129" s="27"/>
      <c r="B129" s="9"/>
      <c r="C129" s="10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6"/>
      <c r="Y129" s="54"/>
      <c r="Z129" s="53"/>
      <c r="AA129" s="53"/>
      <c r="AB129" s="53"/>
      <c r="AC129" s="53"/>
      <c r="AD129" s="53"/>
      <c r="AE129" s="53"/>
    </row>
    <row r="130" spans="1:31" ht="15" customHeight="1">
      <c r="A130" s="27"/>
      <c r="B130" s="9"/>
      <c r="C130" s="10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6"/>
      <c r="Y130" s="54"/>
      <c r="Z130" s="53"/>
      <c r="AA130" s="53"/>
      <c r="AB130" s="53"/>
      <c r="AC130" s="53"/>
      <c r="AD130" s="53"/>
      <c r="AE130" s="53"/>
    </row>
    <row r="131" spans="1:31" ht="15" customHeight="1">
      <c r="A131" s="27"/>
      <c r="B131" s="9"/>
      <c r="C131" s="10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6"/>
      <c r="Y131" s="54"/>
      <c r="Z131" s="53"/>
      <c r="AA131" s="53"/>
      <c r="AB131" s="53"/>
      <c r="AC131" s="53"/>
      <c r="AD131" s="53"/>
      <c r="AE131" s="53"/>
    </row>
    <row r="132" spans="1:31" ht="15" customHeight="1">
      <c r="A132" s="27"/>
      <c r="B132" s="9"/>
      <c r="C132" s="10"/>
      <c r="D132" s="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6"/>
      <c r="Y132" s="54"/>
      <c r="Z132" s="53"/>
      <c r="AA132" s="53"/>
      <c r="AB132" s="53"/>
      <c r="AC132" s="53"/>
      <c r="AD132" s="53"/>
      <c r="AE132" s="53"/>
    </row>
    <row r="133" spans="1:31" ht="15" customHeight="1">
      <c r="A133" s="27"/>
      <c r="B133" s="9"/>
      <c r="C133" s="10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6"/>
      <c r="Y133" s="54"/>
      <c r="Z133" s="53"/>
      <c r="AA133" s="53"/>
      <c r="AB133" s="53"/>
      <c r="AC133" s="53"/>
      <c r="AD133" s="53"/>
      <c r="AE133" s="53"/>
    </row>
    <row r="134" spans="1:31" s="16" customFormat="1" ht="24" customHeight="1">
      <c r="A134" s="24"/>
      <c r="B134" s="153"/>
      <c r="C134" s="154"/>
      <c r="D134" s="155"/>
      <c r="E134" s="162" t="s">
        <v>0</v>
      </c>
      <c r="F134" s="163"/>
      <c r="G134" s="167" t="s">
        <v>34</v>
      </c>
      <c r="H134" s="167"/>
      <c r="I134" s="167"/>
      <c r="J134" s="167"/>
      <c r="K134" s="167"/>
      <c r="L134" s="167"/>
      <c r="M134" s="177" t="s">
        <v>35</v>
      </c>
      <c r="N134" s="177"/>
      <c r="O134" s="172" t="s">
        <v>36</v>
      </c>
      <c r="P134" s="172"/>
      <c r="Q134" s="172"/>
      <c r="R134" s="172"/>
      <c r="S134" s="172"/>
      <c r="T134" s="172"/>
      <c r="U134" s="168" t="s">
        <v>37</v>
      </c>
      <c r="V134" s="168"/>
      <c r="W134" s="168"/>
      <c r="X134" s="169"/>
      <c r="Y134" s="55"/>
      <c r="Z134" s="56"/>
      <c r="AA134" s="56"/>
      <c r="AB134" s="56"/>
      <c r="AC134" s="56"/>
      <c r="AD134" s="56"/>
      <c r="AE134" s="56"/>
    </row>
    <row r="135" spans="1:31" s="16" customFormat="1" ht="15" customHeight="1">
      <c r="A135" s="24"/>
      <c r="B135" s="156"/>
      <c r="C135" s="157"/>
      <c r="D135" s="158"/>
      <c r="E135" s="164"/>
      <c r="F135" s="165"/>
      <c r="G135" s="166" t="s">
        <v>1</v>
      </c>
      <c r="H135" s="166"/>
      <c r="I135" s="166" t="s">
        <v>2</v>
      </c>
      <c r="J135" s="166"/>
      <c r="K135" s="166" t="s">
        <v>3</v>
      </c>
      <c r="L135" s="166"/>
      <c r="M135" s="177"/>
      <c r="N135" s="177"/>
      <c r="O135" s="170" t="s">
        <v>66</v>
      </c>
      <c r="P135" s="170"/>
      <c r="Q135" s="170" t="s">
        <v>45</v>
      </c>
      <c r="R135" s="170"/>
      <c r="S135" s="170" t="s">
        <v>38</v>
      </c>
      <c r="T135" s="170"/>
      <c r="U135" s="170" t="s">
        <v>39</v>
      </c>
      <c r="V135" s="170"/>
      <c r="W135" s="170" t="s">
        <v>40</v>
      </c>
      <c r="X135" s="171"/>
      <c r="Y135" s="55"/>
      <c r="Z135" s="56"/>
      <c r="AA135" s="56"/>
      <c r="AB135" s="56"/>
      <c r="AC135" s="56"/>
      <c r="AD135" s="56"/>
      <c r="AE135" s="56"/>
    </row>
    <row r="136" spans="1:31" s="16" customFormat="1" ht="15" customHeight="1">
      <c r="A136" s="24"/>
      <c r="B136" s="159"/>
      <c r="C136" s="160"/>
      <c r="D136" s="161"/>
      <c r="E136" s="93" t="s">
        <v>19</v>
      </c>
      <c r="F136" s="93" t="s">
        <v>20</v>
      </c>
      <c r="G136" s="93" t="s">
        <v>19</v>
      </c>
      <c r="H136" s="93" t="s">
        <v>20</v>
      </c>
      <c r="I136" s="93" t="s">
        <v>19</v>
      </c>
      <c r="J136" s="93" t="s">
        <v>20</v>
      </c>
      <c r="K136" s="93" t="s">
        <v>19</v>
      </c>
      <c r="L136" s="93" t="s">
        <v>20</v>
      </c>
      <c r="M136" s="93" t="s">
        <v>19</v>
      </c>
      <c r="N136" s="93" t="s">
        <v>20</v>
      </c>
      <c r="O136" s="93" t="s">
        <v>19</v>
      </c>
      <c r="P136" s="93" t="s">
        <v>20</v>
      </c>
      <c r="Q136" s="93" t="s">
        <v>19</v>
      </c>
      <c r="R136" s="93" t="s">
        <v>20</v>
      </c>
      <c r="S136" s="93" t="s">
        <v>19</v>
      </c>
      <c r="T136" s="93" t="s">
        <v>20</v>
      </c>
      <c r="U136" s="93" t="s">
        <v>19</v>
      </c>
      <c r="V136" s="93" t="s">
        <v>20</v>
      </c>
      <c r="W136" s="93" t="s">
        <v>19</v>
      </c>
      <c r="X136" s="84" t="s">
        <v>20</v>
      </c>
      <c r="Y136" s="55"/>
      <c r="Z136" s="56"/>
      <c r="AA136" s="56"/>
      <c r="AB136" s="56"/>
      <c r="AC136" s="56"/>
      <c r="AD136" s="56"/>
      <c r="AE136" s="56"/>
    </row>
    <row r="137" spans="1:31" s="88" customFormat="1" ht="15" customHeight="1">
      <c r="A137" s="24"/>
      <c r="B137" s="179" t="s">
        <v>42</v>
      </c>
      <c r="C137" s="180"/>
      <c r="D137" s="181"/>
      <c r="E137" s="29">
        <f>E127+E97+E69+E39</f>
        <v>486.54</v>
      </c>
      <c r="F137" s="29">
        <f>F127+F97+F69+F39</f>
        <v>429.83</v>
      </c>
      <c r="G137" s="29">
        <f>G127-48+G97+G69+G39</f>
        <v>226.02600000000004</v>
      </c>
      <c r="H137" s="29">
        <f>H127-56+H97+H69+H39</f>
        <v>176.37723076923078</v>
      </c>
      <c r="I137" s="29">
        <f aca="true" t="shared" si="28" ref="I137:R137">I127+I97+I69+I39</f>
        <v>228.8681111111111</v>
      </c>
      <c r="J137" s="29">
        <f t="shared" si="28"/>
        <v>185.2974615384615</v>
      </c>
      <c r="K137" s="29">
        <f t="shared" si="28"/>
        <v>996.812</v>
      </c>
      <c r="L137" s="29">
        <f t="shared" si="28"/>
        <v>834.1800769230769</v>
      </c>
      <c r="M137" s="29">
        <f t="shared" si="28"/>
        <v>7121.6177777777775</v>
      </c>
      <c r="N137" s="29">
        <f t="shared" si="28"/>
        <v>5877.98791025641</v>
      </c>
      <c r="O137" s="29">
        <f t="shared" si="28"/>
        <v>4.503333333333333</v>
      </c>
      <c r="P137" s="29">
        <f t="shared" si="28"/>
        <v>3.3992634932677737</v>
      </c>
      <c r="Q137" s="29">
        <f t="shared" si="28"/>
        <v>5.704333333333334</v>
      </c>
      <c r="R137" s="29">
        <f t="shared" si="28"/>
        <v>4.770629190833227</v>
      </c>
      <c r="S137" s="29">
        <f>S127-115+S97+S69+S39</f>
        <v>209.39</v>
      </c>
      <c r="T137" s="29">
        <f>T127-67+T97+T69+T39</f>
        <v>188.4076666666667</v>
      </c>
      <c r="U137" s="94" t="e">
        <f>#REF!+U127+U97+U69+U39</f>
        <v>#REF!</v>
      </c>
      <c r="V137" s="94" t="e">
        <f>#REF!+V127+V97+V69+V39</f>
        <v>#REF!</v>
      </c>
      <c r="W137" s="29" t="e">
        <f>#REF!+W127+W97+W69+W39</f>
        <v>#REF!</v>
      </c>
      <c r="X137" s="74" t="e">
        <f>#REF!+X127+X97+X69+X39</f>
        <v>#REF!</v>
      </c>
      <c r="Y137" s="95"/>
      <c r="Z137" s="96"/>
      <c r="AA137" s="96"/>
      <c r="AB137" s="96"/>
      <c r="AC137" s="96"/>
      <c r="AD137" s="108"/>
      <c r="AE137" s="108"/>
    </row>
    <row r="138" spans="1:31" s="88" customFormat="1" ht="15" customHeight="1">
      <c r="A138" s="24"/>
      <c r="B138" s="150" t="s">
        <v>43</v>
      </c>
      <c r="C138" s="151"/>
      <c r="D138" s="152"/>
      <c r="E138" s="29">
        <f>E137/4</f>
        <v>121.635</v>
      </c>
      <c r="F138" s="29">
        <f>F137/4</f>
        <v>107.4575</v>
      </c>
      <c r="G138" s="29">
        <f aca="true" t="shared" si="29" ref="G138:S138">G137/4</f>
        <v>56.50650000000001</v>
      </c>
      <c r="H138" s="29">
        <f t="shared" si="29"/>
        <v>44.094307692307694</v>
      </c>
      <c r="I138" s="29">
        <f t="shared" si="29"/>
        <v>57.21702777777777</v>
      </c>
      <c r="J138" s="29">
        <f t="shared" si="29"/>
        <v>46.324365384615376</v>
      </c>
      <c r="K138" s="29">
        <f t="shared" si="29"/>
        <v>249.203</v>
      </c>
      <c r="L138" s="29">
        <f t="shared" si="29"/>
        <v>208.5450192307692</v>
      </c>
      <c r="M138" s="29">
        <f t="shared" si="29"/>
        <v>1780.4044444444444</v>
      </c>
      <c r="N138" s="29">
        <f t="shared" si="29"/>
        <v>1469.4969775641025</v>
      </c>
      <c r="O138" s="86">
        <f t="shared" si="29"/>
        <v>1.1258333333333332</v>
      </c>
      <c r="P138" s="86">
        <f t="shared" si="29"/>
        <v>0.8498158733169434</v>
      </c>
      <c r="Q138" s="86">
        <f t="shared" si="29"/>
        <v>1.4260833333333336</v>
      </c>
      <c r="R138" s="86">
        <f t="shared" si="29"/>
        <v>1.1926572977083068</v>
      </c>
      <c r="S138" s="29">
        <f t="shared" si="29"/>
        <v>52.3475</v>
      </c>
      <c r="T138" s="29">
        <f>T137/4</f>
        <v>47.101916666666675</v>
      </c>
      <c r="U138" s="29" t="e">
        <f>U137/5</f>
        <v>#REF!</v>
      </c>
      <c r="V138" s="29" t="e">
        <f>V137/5</f>
        <v>#REF!</v>
      </c>
      <c r="W138" s="29" t="e">
        <f>W137/5</f>
        <v>#REF!</v>
      </c>
      <c r="X138" s="74" t="e">
        <f>X137/5</f>
        <v>#REF!</v>
      </c>
      <c r="Y138" s="95"/>
      <c r="Z138" s="96"/>
      <c r="AA138" s="96"/>
      <c r="AB138" s="96"/>
      <c r="AC138" s="96"/>
      <c r="AD138" s="108"/>
      <c r="AE138" s="108"/>
    </row>
    <row r="139" spans="1:14" s="16" customFormat="1" ht="15" customHeight="1">
      <c r="A139" s="24"/>
      <c r="B139" s="31"/>
      <c r="C139" s="31"/>
      <c r="D139" s="31"/>
      <c r="E139" s="31"/>
      <c r="F139" s="31"/>
      <c r="G139" s="31"/>
      <c r="H139" s="31"/>
      <c r="I139" s="31"/>
      <c r="J139" s="31"/>
      <c r="K139" s="18"/>
      <c r="L139" s="18"/>
      <c r="M139" s="32"/>
      <c r="N139" s="33"/>
    </row>
    <row r="140" spans="1:14" s="88" customFormat="1" ht="15" customHeight="1">
      <c r="A140" s="24"/>
      <c r="B140" s="31"/>
      <c r="C140" s="31"/>
      <c r="D140" s="31"/>
      <c r="E140" s="31"/>
      <c r="F140" s="31"/>
      <c r="G140" s="31"/>
      <c r="H140" s="31"/>
      <c r="I140" s="31"/>
      <c r="J140" s="97"/>
      <c r="K140" s="18"/>
      <c r="L140" s="18"/>
      <c r="M140" s="98"/>
      <c r="N140" s="97"/>
    </row>
    <row r="141" spans="1:14" s="88" customFormat="1" ht="15" customHeight="1">
      <c r="A141" s="24"/>
      <c r="B141" s="31"/>
      <c r="C141" s="31"/>
      <c r="D141" s="31"/>
      <c r="E141" s="31"/>
      <c r="F141" s="31"/>
      <c r="G141" s="31"/>
      <c r="H141" s="31"/>
      <c r="I141" s="31"/>
      <c r="J141" s="97"/>
      <c r="K141" s="18"/>
      <c r="L141" s="18"/>
      <c r="M141" s="97"/>
      <c r="N141" s="97"/>
    </row>
    <row r="142" spans="1:12" s="16" customFormat="1" ht="15" customHeight="1">
      <c r="A142" s="24"/>
      <c r="B142" s="34" t="s">
        <v>56</v>
      </c>
      <c r="C142" s="101"/>
      <c r="D142" s="101"/>
      <c r="E142" s="101"/>
      <c r="F142" s="101"/>
      <c r="G142" s="34"/>
      <c r="H142" s="34"/>
      <c r="I142" s="34"/>
      <c r="J142" s="34"/>
      <c r="K142" s="34"/>
      <c r="L142" s="34"/>
    </row>
    <row r="143" spans="1:12" s="16" customFormat="1" ht="15" customHeight="1">
      <c r="A143" s="24"/>
      <c r="B143" s="34" t="s">
        <v>44</v>
      </c>
      <c r="C143" s="101"/>
      <c r="D143" s="101"/>
      <c r="E143" s="101"/>
      <c r="F143" s="101"/>
      <c r="G143" s="34"/>
      <c r="H143" s="34"/>
      <c r="I143" s="34"/>
      <c r="J143" s="34"/>
      <c r="K143" s="34"/>
      <c r="L143" s="34"/>
    </row>
    <row r="144" spans="1:12" s="16" customFormat="1" ht="15" customHeight="1">
      <c r="A144" s="24"/>
      <c r="B144" s="34"/>
      <c r="C144" s="101"/>
      <c r="D144" s="101"/>
      <c r="E144" s="101"/>
      <c r="F144" s="101"/>
      <c r="G144" s="34"/>
      <c r="H144" s="34"/>
      <c r="I144" s="34"/>
      <c r="J144" s="34"/>
      <c r="K144" s="34"/>
      <c r="L144" s="34"/>
    </row>
    <row r="145" spans="1:14" s="16" customFormat="1" ht="15" customHeight="1">
      <c r="A145" s="24"/>
      <c r="B145" s="35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99"/>
      <c r="N145" s="99"/>
    </row>
    <row r="146" spans="1:14" s="88" customFormat="1" ht="15" customHeight="1">
      <c r="A146" s="24"/>
      <c r="B146" s="37"/>
      <c r="C146" s="37"/>
      <c r="D146" s="37"/>
      <c r="E146" s="38"/>
      <c r="F146" s="39"/>
      <c r="G146" s="40"/>
      <c r="H146" s="40"/>
      <c r="I146" s="40"/>
      <c r="J146" s="40"/>
      <c r="K146" s="100"/>
      <c r="L146" s="100"/>
      <c r="M146" s="100"/>
      <c r="N146" s="100"/>
    </row>
    <row r="147" spans="1:14" s="16" customFormat="1" ht="15" customHeight="1">
      <c r="A147" s="24"/>
      <c r="B147" s="12" t="s">
        <v>55</v>
      </c>
      <c r="C147" s="13"/>
      <c r="D147" s="14"/>
      <c r="E147" s="14"/>
      <c r="F147" s="14"/>
      <c r="G147" s="14"/>
      <c r="H147" s="13"/>
      <c r="I147" s="13"/>
      <c r="J147" s="13" t="s">
        <v>48</v>
      </c>
      <c r="K147" s="13"/>
      <c r="L147" s="13"/>
      <c r="M147" s="33"/>
      <c r="N147" s="33"/>
    </row>
    <row r="148" spans="1:14" s="16" customFormat="1" ht="15" customHeight="1">
      <c r="A148" s="24"/>
      <c r="B148" s="12"/>
      <c r="C148" s="13"/>
      <c r="D148" s="14"/>
      <c r="E148" s="14"/>
      <c r="F148" s="14"/>
      <c r="G148" s="14"/>
      <c r="H148" s="13"/>
      <c r="I148" s="13"/>
      <c r="J148" s="13"/>
      <c r="K148" s="13"/>
      <c r="L148" s="13"/>
      <c r="M148" s="33"/>
      <c r="N148" s="33"/>
    </row>
    <row r="149" spans="1:14" s="16" customFormat="1" ht="15" customHeight="1">
      <c r="A149" s="24"/>
      <c r="B149" s="15" t="s">
        <v>132</v>
      </c>
      <c r="C149" s="15"/>
      <c r="D149" s="15"/>
      <c r="E149" s="15"/>
      <c r="F149" s="15"/>
      <c r="G149" s="15"/>
      <c r="H149" s="15"/>
      <c r="I149" s="15"/>
      <c r="J149" s="13" t="s">
        <v>131</v>
      </c>
      <c r="K149" s="13"/>
      <c r="L149" s="13"/>
      <c r="M149" s="33"/>
      <c r="N149" s="33"/>
    </row>
    <row r="150" spans="1:14" s="16" customFormat="1" ht="15" customHeight="1">
      <c r="A150" s="24"/>
      <c r="B150" s="12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33"/>
      <c r="N150" s="33"/>
    </row>
    <row r="151" spans="1:14" s="16" customFormat="1" ht="15" customHeight="1">
      <c r="A151" s="24"/>
      <c r="B151" s="109" t="s">
        <v>81</v>
      </c>
      <c r="C151" s="12"/>
      <c r="D151" s="12"/>
      <c r="E151" s="13"/>
      <c r="F151" s="13"/>
      <c r="G151" s="12"/>
      <c r="H151" s="12"/>
      <c r="I151" s="12"/>
      <c r="J151" s="109" t="s">
        <v>129</v>
      </c>
      <c r="K151" s="12"/>
      <c r="L151" s="13"/>
      <c r="M151" s="99"/>
      <c r="N151" s="99"/>
    </row>
    <row r="152" spans="1:14" s="16" customFormat="1" ht="15" customHeight="1">
      <c r="A152" s="24"/>
      <c r="B152" s="12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99"/>
      <c r="N152" s="99"/>
    </row>
    <row r="153" spans="1:14" s="16" customFormat="1" ht="15" customHeight="1">
      <c r="A153" s="24"/>
      <c r="B153" s="15" t="s">
        <v>79</v>
      </c>
      <c r="C153" s="102"/>
      <c r="D153" s="102"/>
      <c r="E153" s="102"/>
      <c r="F153" s="102"/>
      <c r="G153" s="15"/>
      <c r="H153" s="15"/>
      <c r="I153" s="15"/>
      <c r="J153" s="13" t="s">
        <v>130</v>
      </c>
      <c r="K153" s="13"/>
      <c r="L153" s="13"/>
      <c r="M153" s="99"/>
      <c r="N153" s="99"/>
    </row>
    <row r="154" spans="1:14" s="16" customFormat="1" ht="15" customHeight="1">
      <c r="A154" s="24"/>
      <c r="B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99"/>
      <c r="N154" s="99"/>
    </row>
    <row r="155" spans="2:14" ht="14.25">
      <c r="B155" s="35"/>
      <c r="C155" s="35"/>
      <c r="D155" s="35"/>
      <c r="E155" s="36"/>
      <c r="F155" s="36"/>
      <c r="G155" s="35"/>
      <c r="H155" s="35"/>
      <c r="I155" s="35"/>
      <c r="J155" s="35"/>
      <c r="K155" s="35"/>
      <c r="L155" s="35"/>
      <c r="M155" s="149"/>
      <c r="N155" s="149"/>
    </row>
    <row r="156" spans="2:14" ht="14.25">
      <c r="B156" s="35"/>
      <c r="C156" s="35"/>
      <c r="D156" s="35"/>
      <c r="E156" s="36"/>
      <c r="F156" s="36"/>
      <c r="G156" s="35"/>
      <c r="H156" s="35"/>
      <c r="I156" s="35"/>
      <c r="J156" s="35"/>
      <c r="K156" s="35"/>
      <c r="L156" s="35"/>
      <c r="M156" s="149"/>
      <c r="N156" s="149"/>
    </row>
    <row r="157" spans="1:14" s="16" customFormat="1" ht="14.25">
      <c r="A157" s="24"/>
      <c r="B157" s="35"/>
      <c r="C157" s="35"/>
      <c r="D157" s="35"/>
      <c r="E157" s="36"/>
      <c r="F157" s="36"/>
      <c r="G157" s="35"/>
      <c r="H157" s="35"/>
      <c r="I157" s="35"/>
      <c r="J157" s="35"/>
      <c r="K157" s="35"/>
      <c r="L157" s="35"/>
      <c r="M157" s="99"/>
      <c r="N157" s="99"/>
    </row>
    <row r="158" spans="1:14" s="16" customFormat="1" ht="14.25">
      <c r="A158" s="24"/>
      <c r="B158" s="35"/>
      <c r="C158" s="35"/>
      <c r="D158" s="35"/>
      <c r="E158" s="36"/>
      <c r="F158" s="36"/>
      <c r="G158" s="35"/>
      <c r="H158" s="35"/>
      <c r="I158" s="35"/>
      <c r="J158" s="35"/>
      <c r="K158" s="35"/>
      <c r="L158" s="35"/>
      <c r="M158" s="99"/>
      <c r="N158" s="99"/>
    </row>
    <row r="159" spans="1:14" s="16" customFormat="1" ht="12.75">
      <c r="A159" s="24"/>
      <c r="B159" s="18"/>
      <c r="C159" s="18"/>
      <c r="D159" s="18"/>
      <c r="E159" s="19"/>
      <c r="F159" s="19"/>
      <c r="G159" s="18"/>
      <c r="H159" s="18"/>
      <c r="I159" s="18"/>
      <c r="J159" s="18"/>
      <c r="K159" s="18"/>
      <c r="L159" s="18"/>
      <c r="M159" s="18"/>
      <c r="N159" s="18"/>
    </row>
    <row r="160" spans="1:14" s="16" customFormat="1" ht="12.75">
      <c r="A160" s="24"/>
      <c r="B160" s="18"/>
      <c r="C160" s="18"/>
      <c r="D160" s="18"/>
      <c r="E160" s="19"/>
      <c r="F160" s="19"/>
      <c r="G160" s="18"/>
      <c r="H160" s="18"/>
      <c r="I160" s="18"/>
      <c r="J160" s="18"/>
      <c r="K160" s="18"/>
      <c r="L160" s="18"/>
      <c r="M160" s="18"/>
      <c r="N160" s="18"/>
    </row>
    <row r="161" spans="1:14" s="16" customFormat="1" ht="12.75">
      <c r="A161" s="24"/>
      <c r="B161" s="18"/>
      <c r="C161" s="18"/>
      <c r="D161" s="18"/>
      <c r="E161" s="19"/>
      <c r="F161" s="19"/>
      <c r="G161" s="18"/>
      <c r="H161" s="18"/>
      <c r="I161" s="18"/>
      <c r="J161" s="18"/>
      <c r="K161" s="18"/>
      <c r="L161" s="18"/>
      <c r="M161" s="18"/>
      <c r="N161" s="18"/>
    </row>
    <row r="162" spans="1:14" s="16" customFormat="1" ht="12.75">
      <c r="A162" s="24"/>
      <c r="B162" s="18"/>
      <c r="C162" s="18"/>
      <c r="D162" s="18"/>
      <c r="E162" s="19"/>
      <c r="F162" s="19"/>
      <c r="G162" s="18"/>
      <c r="H162" s="18"/>
      <c r="I162" s="18"/>
      <c r="J162" s="18"/>
      <c r="K162" s="18"/>
      <c r="L162" s="18"/>
      <c r="M162" s="18"/>
      <c r="N162" s="18"/>
    </row>
    <row r="163" spans="1:14" s="16" customFormat="1" ht="12.75">
      <c r="A163" s="24"/>
      <c r="B163" s="18"/>
      <c r="C163" s="18"/>
      <c r="D163" s="18"/>
      <c r="E163" s="19"/>
      <c r="F163" s="19"/>
      <c r="G163" s="18"/>
      <c r="H163" s="18"/>
      <c r="I163" s="18"/>
      <c r="J163" s="18"/>
      <c r="K163" s="18"/>
      <c r="L163" s="18"/>
      <c r="M163" s="18"/>
      <c r="N163" s="18"/>
    </row>
    <row r="164" spans="1:14" s="16" customFormat="1" ht="12.75">
      <c r="A164" s="24"/>
      <c r="B164" s="18"/>
      <c r="C164" s="18"/>
      <c r="D164" s="18"/>
      <c r="E164" s="19"/>
      <c r="F164" s="19"/>
      <c r="G164" s="18"/>
      <c r="H164" s="18"/>
      <c r="I164" s="18"/>
      <c r="J164" s="18"/>
      <c r="K164" s="18"/>
      <c r="L164" s="18"/>
      <c r="M164" s="18"/>
      <c r="N164" s="18"/>
    </row>
    <row r="165" spans="1:14" s="16" customFormat="1" ht="12.75">
      <c r="A165" s="24"/>
      <c r="B165" s="18"/>
      <c r="C165" s="18"/>
      <c r="D165" s="18"/>
      <c r="E165" s="19"/>
      <c r="F165" s="19"/>
      <c r="G165" s="18"/>
      <c r="H165" s="18"/>
      <c r="I165" s="18"/>
      <c r="J165" s="18"/>
      <c r="K165" s="18"/>
      <c r="L165" s="18"/>
      <c r="M165" s="18"/>
      <c r="N165" s="18"/>
    </row>
    <row r="166" spans="1:14" s="16" customFormat="1" ht="12.75">
      <c r="A166" s="24"/>
      <c r="B166" s="18"/>
      <c r="C166" s="18"/>
      <c r="D166" s="18"/>
      <c r="E166" s="19"/>
      <c r="F166" s="19"/>
      <c r="G166" s="18"/>
      <c r="H166" s="18"/>
      <c r="I166" s="18"/>
      <c r="J166" s="18"/>
      <c r="K166" s="18"/>
      <c r="L166" s="18"/>
      <c r="M166" s="18"/>
      <c r="N166" s="18"/>
    </row>
    <row r="167" spans="1:14" s="16" customFormat="1" ht="12.75">
      <c r="A167" s="24"/>
      <c r="B167" s="18"/>
      <c r="C167" s="18"/>
      <c r="D167" s="18"/>
      <c r="E167" s="19"/>
      <c r="F167" s="19"/>
      <c r="G167" s="18"/>
      <c r="H167" s="18"/>
      <c r="I167" s="18"/>
      <c r="J167" s="18"/>
      <c r="K167" s="18"/>
      <c r="L167" s="18"/>
      <c r="M167" s="18"/>
      <c r="N167" s="18"/>
    </row>
    <row r="168" spans="1:14" s="16" customFormat="1" ht="12.75">
      <c r="A168" s="24"/>
      <c r="B168" s="18"/>
      <c r="C168" s="18"/>
      <c r="D168" s="18"/>
      <c r="E168" s="19"/>
      <c r="F168" s="19"/>
      <c r="G168" s="18"/>
      <c r="H168" s="18"/>
      <c r="I168" s="18"/>
      <c r="J168" s="18"/>
      <c r="K168" s="18"/>
      <c r="L168" s="18"/>
      <c r="M168" s="18"/>
      <c r="N168" s="18"/>
    </row>
    <row r="169" spans="1:14" s="16" customFormat="1" ht="12.75">
      <c r="A169" s="24"/>
      <c r="B169" s="18"/>
      <c r="C169" s="18"/>
      <c r="D169" s="18"/>
      <c r="E169" s="19"/>
      <c r="F169" s="19"/>
      <c r="G169" s="18"/>
      <c r="H169" s="18"/>
      <c r="I169" s="18"/>
      <c r="J169" s="18"/>
      <c r="K169" s="18"/>
      <c r="L169" s="18"/>
      <c r="M169" s="18"/>
      <c r="N169" s="18"/>
    </row>
    <row r="170" spans="1:14" s="16" customFormat="1" ht="12.75">
      <c r="A170" s="24"/>
      <c r="B170" s="18"/>
      <c r="C170" s="18"/>
      <c r="D170" s="18"/>
      <c r="E170" s="19"/>
      <c r="F170" s="19"/>
      <c r="G170" s="18"/>
      <c r="H170" s="18"/>
      <c r="I170" s="18"/>
      <c r="J170" s="18"/>
      <c r="K170" s="18"/>
      <c r="L170" s="18"/>
      <c r="M170" s="18"/>
      <c r="N170" s="18"/>
    </row>
    <row r="171" spans="1:14" s="16" customFormat="1" ht="12.75">
      <c r="A171" s="24"/>
      <c r="B171" s="18"/>
      <c r="C171" s="18"/>
      <c r="D171" s="18"/>
      <c r="E171" s="19"/>
      <c r="F171" s="19"/>
      <c r="G171" s="18"/>
      <c r="H171" s="18"/>
      <c r="I171" s="18"/>
      <c r="J171" s="18"/>
      <c r="K171" s="18"/>
      <c r="L171" s="18"/>
      <c r="M171" s="18"/>
      <c r="N171" s="18"/>
    </row>
    <row r="172" spans="1:14" s="16" customFormat="1" ht="12.75">
      <c r="A172" s="24"/>
      <c r="B172" s="18"/>
      <c r="C172" s="18"/>
      <c r="D172" s="18"/>
      <c r="E172" s="19"/>
      <c r="F172" s="19"/>
      <c r="G172" s="18"/>
      <c r="H172" s="18"/>
      <c r="I172" s="18"/>
      <c r="J172" s="18"/>
      <c r="K172" s="18"/>
      <c r="L172" s="18"/>
      <c r="M172" s="18"/>
      <c r="N172" s="18"/>
    </row>
    <row r="173" spans="1:14" s="16" customFormat="1" ht="12.75">
      <c r="A173" s="24"/>
      <c r="B173" s="18"/>
      <c r="C173" s="18"/>
      <c r="D173" s="18"/>
      <c r="E173" s="19"/>
      <c r="F173" s="19"/>
      <c r="G173" s="18"/>
      <c r="H173" s="18"/>
      <c r="I173" s="18"/>
      <c r="J173" s="18"/>
      <c r="K173" s="18"/>
      <c r="L173" s="18"/>
      <c r="M173" s="18"/>
      <c r="N173" s="18"/>
    </row>
    <row r="174" spans="1:14" s="16" customFormat="1" ht="12.75">
      <c r="A174" s="24"/>
      <c r="B174" s="18"/>
      <c r="C174" s="18"/>
      <c r="D174" s="18"/>
      <c r="E174" s="19"/>
      <c r="F174" s="19"/>
      <c r="G174" s="18"/>
      <c r="H174" s="18"/>
      <c r="I174" s="18"/>
      <c r="J174" s="18"/>
      <c r="K174" s="18"/>
      <c r="L174" s="18"/>
      <c r="M174" s="18"/>
      <c r="N174" s="18"/>
    </row>
    <row r="175" spans="1:14" s="16" customFormat="1" ht="12.75">
      <c r="A175" s="24"/>
      <c r="B175" s="18"/>
      <c r="C175" s="18"/>
      <c r="D175" s="18"/>
      <c r="E175" s="19"/>
      <c r="F175" s="19"/>
      <c r="G175" s="18"/>
      <c r="H175" s="18"/>
      <c r="I175" s="18"/>
      <c r="J175" s="18"/>
      <c r="K175" s="18"/>
      <c r="L175" s="18"/>
      <c r="M175" s="18"/>
      <c r="N175" s="18"/>
    </row>
    <row r="176" spans="1:14" s="16" customFormat="1" ht="12.75">
      <c r="A176" s="24"/>
      <c r="B176" s="18"/>
      <c r="C176" s="18"/>
      <c r="D176" s="18"/>
      <c r="E176" s="19"/>
      <c r="F176" s="19"/>
      <c r="G176" s="18"/>
      <c r="H176" s="18"/>
      <c r="I176" s="18"/>
      <c r="J176" s="18"/>
      <c r="K176" s="18"/>
      <c r="L176" s="18"/>
      <c r="M176" s="18"/>
      <c r="N176" s="18"/>
    </row>
    <row r="177" spans="1:14" s="16" customFormat="1" ht="12.75">
      <c r="A177" s="24"/>
      <c r="B177" s="18"/>
      <c r="C177" s="18"/>
      <c r="D177" s="18"/>
      <c r="E177" s="19"/>
      <c r="F177" s="19"/>
      <c r="G177" s="18"/>
      <c r="H177" s="18"/>
      <c r="I177" s="18"/>
      <c r="J177" s="18"/>
      <c r="K177" s="18"/>
      <c r="L177" s="18"/>
      <c r="M177" s="18"/>
      <c r="N177" s="18"/>
    </row>
    <row r="178" spans="1:14" s="16" customFormat="1" ht="12.75">
      <c r="A178" s="24"/>
      <c r="B178" s="18"/>
      <c r="C178" s="18"/>
      <c r="D178" s="18"/>
      <c r="E178" s="19"/>
      <c r="F178" s="19"/>
      <c r="G178" s="18"/>
      <c r="H178" s="18"/>
      <c r="I178" s="18"/>
      <c r="J178" s="18"/>
      <c r="K178" s="18"/>
      <c r="L178" s="18"/>
      <c r="M178" s="18"/>
      <c r="N178" s="18"/>
    </row>
    <row r="179" spans="1:14" s="16" customFormat="1" ht="12.75">
      <c r="A179" s="24"/>
      <c r="B179" s="18"/>
      <c r="C179" s="18"/>
      <c r="D179" s="18"/>
      <c r="E179" s="19"/>
      <c r="F179" s="19"/>
      <c r="G179" s="18"/>
      <c r="H179" s="18"/>
      <c r="I179" s="18"/>
      <c r="J179" s="18"/>
      <c r="K179" s="18"/>
      <c r="L179" s="18"/>
      <c r="M179" s="18"/>
      <c r="N179" s="18"/>
    </row>
    <row r="180" spans="1:14" s="16" customFormat="1" ht="12.75">
      <c r="A180" s="24"/>
      <c r="B180" s="18"/>
      <c r="C180" s="18"/>
      <c r="D180" s="18"/>
      <c r="E180" s="19"/>
      <c r="F180" s="19"/>
      <c r="G180" s="18"/>
      <c r="H180" s="18"/>
      <c r="I180" s="18"/>
      <c r="J180" s="18"/>
      <c r="K180" s="18"/>
      <c r="L180" s="18"/>
      <c r="M180" s="18"/>
      <c r="N180" s="18"/>
    </row>
    <row r="181" spans="1:14" s="16" customFormat="1" ht="12.75">
      <c r="A181" s="24"/>
      <c r="B181" s="18"/>
      <c r="C181" s="18"/>
      <c r="D181" s="18"/>
      <c r="E181" s="19"/>
      <c r="F181" s="19"/>
      <c r="G181" s="18"/>
      <c r="H181" s="18"/>
      <c r="I181" s="18"/>
      <c r="J181" s="18"/>
      <c r="K181" s="18"/>
      <c r="L181" s="18"/>
      <c r="M181" s="18"/>
      <c r="N181" s="18"/>
    </row>
    <row r="182" spans="1:14" s="16" customFormat="1" ht="12.75">
      <c r="A182" s="24"/>
      <c r="B182" s="18"/>
      <c r="C182" s="18"/>
      <c r="D182" s="18"/>
      <c r="E182" s="19"/>
      <c r="F182" s="19"/>
      <c r="G182" s="18"/>
      <c r="H182" s="18"/>
      <c r="I182" s="18"/>
      <c r="J182" s="18"/>
      <c r="K182" s="18"/>
      <c r="L182" s="18"/>
      <c r="M182" s="18"/>
      <c r="N182" s="18"/>
    </row>
    <row r="183" spans="1:14" s="16" customFormat="1" ht="12.75">
      <c r="A183" s="24"/>
      <c r="B183" s="18"/>
      <c r="C183" s="18"/>
      <c r="D183" s="18"/>
      <c r="E183" s="19"/>
      <c r="F183" s="19"/>
      <c r="G183" s="18"/>
      <c r="H183" s="18"/>
      <c r="I183" s="18"/>
      <c r="J183" s="18"/>
      <c r="K183" s="18"/>
      <c r="L183" s="18"/>
      <c r="M183" s="18"/>
      <c r="N183" s="18"/>
    </row>
  </sheetData>
  <sheetProtection/>
  <mergeCells count="34">
    <mergeCell ref="M4:N4"/>
    <mergeCell ref="O10:T10"/>
    <mergeCell ref="Q11:R11"/>
    <mergeCell ref="B137:D137"/>
    <mergeCell ref="K135:L135"/>
    <mergeCell ref="M134:N135"/>
    <mergeCell ref="S135:T135"/>
    <mergeCell ref="Q135:R135"/>
    <mergeCell ref="I11:J11"/>
    <mergeCell ref="K11:L11"/>
    <mergeCell ref="A8:X8"/>
    <mergeCell ref="A10:A11"/>
    <mergeCell ref="B10:B11"/>
    <mergeCell ref="C10:D11"/>
    <mergeCell ref="E10:F11"/>
    <mergeCell ref="G10:L10"/>
    <mergeCell ref="M10:N11"/>
    <mergeCell ref="S11:T11"/>
    <mergeCell ref="G11:H11"/>
    <mergeCell ref="U10:X10"/>
    <mergeCell ref="U134:X134"/>
    <mergeCell ref="U135:V135"/>
    <mergeCell ref="W135:X135"/>
    <mergeCell ref="W11:X11"/>
    <mergeCell ref="U11:V11"/>
    <mergeCell ref="O135:P135"/>
    <mergeCell ref="O134:T134"/>
    <mergeCell ref="O11:P11"/>
    <mergeCell ref="B138:D138"/>
    <mergeCell ref="B134:D136"/>
    <mergeCell ref="E134:F135"/>
    <mergeCell ref="I135:J135"/>
    <mergeCell ref="G134:L134"/>
    <mergeCell ref="G135:H135"/>
  </mergeCells>
  <printOptions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2018-08-23T03:46:44Z</cp:lastPrinted>
  <dcterms:created xsi:type="dcterms:W3CDTF">2010-07-29T06:39:54Z</dcterms:created>
  <dcterms:modified xsi:type="dcterms:W3CDTF">2018-08-24T12:39:48Z</dcterms:modified>
  <cp:category/>
  <cp:version/>
  <cp:contentType/>
  <cp:contentStatus/>
</cp:coreProperties>
</file>